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ivotTables/pivotTable3.xml" ContentType="application/vnd.openxmlformats-officedocument.spreadsheetml.pivot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pivotTables/pivotTable4.xml" ContentType="application/vnd.openxmlformats-officedocument.spreadsheetml.pivot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always"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susanne_r_benzick_civ_us_navy_mil/Documents/Desktop/"/>
    </mc:Choice>
  </mc:AlternateContent>
  <xr:revisionPtr revIDLastSave="0" documentId="8_{A35C9163-EF59-4971-8E24-FE0B21D0004A}" xr6:coauthVersionLast="47" xr6:coauthVersionMax="47" xr10:uidLastSave="{00000000-0000-0000-0000-000000000000}"/>
  <workbookProtection workbookAlgorithmName="SHA-512" workbookHashValue="8liJQAe6DlJ6kY1NdUNpthcKR1yBZ4hmJ9x2Z9QQWzWsyV2V7WjRUwiww4O2x1V+ZXkdtkePuTwZ+tTICLYVFA==" workbookSaltValue="julgTmH6RZEj/CF8tMMm6w==" workbookSpinCount="100000" lockStructure="1"/>
  <bookViews>
    <workbookView xWindow="-120" yWindow="90" windowWidth="29040" windowHeight="15630" firstSheet="14" activeTab="16" xr2:uid="{00000000-000D-0000-FFFF-FFFF00000000}"/>
  </bookViews>
  <sheets>
    <sheet name="TSD-Bi-Weekly" sheetId="25" state="hidden" r:id="rId1"/>
    <sheet name="TSD-%" sheetId="20" state="hidden" r:id="rId2"/>
    <sheet name="Planning-Need vs Planned" sheetId="32" state="hidden" r:id="rId3"/>
    <sheet name="Sheet1" sheetId="42" state="hidden" r:id="rId4"/>
    <sheet name="TSD- FY25 Canceled Courses" sheetId="41" state="hidden" r:id="rId5"/>
    <sheet name="TSD-Data" sheetId="3" state="hidden" r:id="rId6"/>
    <sheet name="Detail1" sheetId="37" state="hidden" r:id="rId7"/>
    <sheet name="Detail2" sheetId="38" state="hidden" r:id="rId8"/>
    <sheet name="Detail3" sheetId="39" state="hidden" r:id="rId9"/>
    <sheet name="FLT" sheetId="31" state="hidden" r:id="rId10"/>
    <sheet name="OH" sheetId="28" state="hidden" r:id="rId11"/>
    <sheet name="SAF" sheetId="27" state="hidden" r:id="rId12"/>
    <sheet name="ENV" sheetId="29" state="hidden" r:id="rId13"/>
    <sheet name="Detail4" sheetId="40" state="hidden" r:id="rId14"/>
    <sheet name="FY25 Status" sheetId="17" r:id="rId15"/>
    <sheet name="Sheet2" sheetId="48" state="hidden" r:id="rId16"/>
    <sheet name="FY 2025 Schedule" sheetId="1" r:id="rId17"/>
    <sheet name="FY25 Needs Assessment" sheetId="36" r:id="rId18"/>
    <sheet name="Detail5" sheetId="43" state="hidden" r:id="rId19"/>
    <sheet name="Detail6" sheetId="44" state="hidden" r:id="rId20"/>
    <sheet name="Detail7" sheetId="45" state="hidden" r:id="rId21"/>
    <sheet name="2025 Global Online Need Totals" sheetId="34" r:id="rId22"/>
    <sheet name="Detail8" sheetId="46" state="hidden" r:id="rId23"/>
    <sheet name="Detail9" sheetId="47" state="hidden" r:id="rId24"/>
    <sheet name="2025 Resident Need Totals" sheetId="35" r:id="rId25"/>
  </sheets>
  <externalReferences>
    <externalReference r:id="rId26"/>
  </externalReferences>
  <definedNames>
    <definedName name="_xlnm._FilterDatabase" localSheetId="2" hidden="1">'Planning-Need vs Planned'!$B$2:$L$39</definedName>
    <definedName name="CIN">'TSD-Data'!$B$2:$B$53</definedName>
    <definedName name="Class" localSheetId="12">#REF!</definedName>
    <definedName name="Class" localSheetId="9">#REF!</definedName>
    <definedName name="Class" localSheetId="10">#REF!</definedName>
    <definedName name="Class" localSheetId="11">#REF!</definedName>
    <definedName name="Class">'TSD-Data'!$A$2:$A$53</definedName>
    <definedName name="Courses">'TSD-Data'!$A$2:$C$53</definedName>
    <definedName name="HighlightRow" localSheetId="12">2</definedName>
    <definedName name="HighlightRow" localSheetId="9">2</definedName>
    <definedName name="HighlightRow" localSheetId="16">2</definedName>
    <definedName name="HighlightRow" localSheetId="10">2</definedName>
    <definedName name="HighlightRow" localSheetId="11">2</definedName>
    <definedName name="HighlightRow">10</definedName>
    <definedName name="Instructor" localSheetId="12">#REF!</definedName>
    <definedName name="Instructor" localSheetId="9">#REF!</definedName>
    <definedName name="Instructor" localSheetId="10">#REF!</definedName>
    <definedName name="Instructor" localSheetId="11">#REF!</definedName>
    <definedName name="Instructor">'TSD-Data'!$G$2:$G$37</definedName>
    <definedName name="Location" localSheetId="21">[1]Data!$J$2:$J$112</definedName>
    <definedName name="Location" localSheetId="24">[1]Data!$J$2:$J$112</definedName>
    <definedName name="Location" localSheetId="12">#REF!</definedName>
    <definedName name="Location" localSheetId="9">#REF!</definedName>
    <definedName name="Location" localSheetId="17">[1]Data!$J$2:$J$112</definedName>
    <definedName name="Location" localSheetId="10">#REF!</definedName>
    <definedName name="Location" localSheetId="11">#REF!</definedName>
    <definedName name="Location">'TSD-Data'!$K$2:$K$92</definedName>
    <definedName name="_xlnm.Print_Area" localSheetId="12">ENV!$A$1:$X$164</definedName>
    <definedName name="_xlnm.Print_Area" localSheetId="9">FLT!$A$1:$X$99</definedName>
    <definedName name="_xlnm.Print_Area" localSheetId="16">'FY 2025 Schedule'!$A$1:$AC$535</definedName>
    <definedName name="_xlnm.Print_Area" localSheetId="17">Table1[#All]</definedName>
    <definedName name="_xlnm.Print_Area" localSheetId="14">'FY25 Status'!$B$3:$AA$42</definedName>
    <definedName name="_xlnm.Print_Area" localSheetId="10">OH!$A$1:$X$460</definedName>
    <definedName name="_xlnm.Print_Area" localSheetId="11">SAF!$A$1:$X$460</definedName>
    <definedName name="Roster" localSheetId="12">#REF!</definedName>
    <definedName name="Roster" localSheetId="9">#REF!</definedName>
    <definedName name="Roster" localSheetId="10">#REF!</definedName>
    <definedName name="Roster" localSheetId="11">#REF!</definedName>
    <definedName name="Roster">'TSD-Data'!$M$2:$M$5</definedName>
  </definedNames>
  <calcPr calcId="191028"/>
  <pivotCaches>
    <pivotCache cacheId="0" r:id="rId27"/>
    <pivotCache cacheId="1" r:id="rId28"/>
    <pivotCache cacheId="2" r:id="rId2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5" i="1"/>
  <c r="V376" i="1"/>
  <c r="V377" i="1"/>
  <c r="V378" i="1"/>
  <c r="V379" i="1"/>
  <c r="V380" i="1"/>
  <c r="V381" i="1"/>
  <c r="V384" i="1"/>
  <c r="V385" i="1"/>
  <c r="V386" i="1"/>
  <c r="V388" i="1"/>
  <c r="V389" i="1"/>
  <c r="V394" i="1"/>
  <c r="V395" i="1"/>
  <c r="V396" i="1"/>
  <c r="V397" i="1"/>
  <c r="V398" i="1"/>
  <c r="V399" i="1"/>
  <c r="V400" i="1"/>
  <c r="V401" i="1"/>
  <c r="V402" i="1"/>
  <c r="V403" i="1"/>
  <c r="V406" i="1"/>
  <c r="V407" i="1"/>
  <c r="V408" i="1"/>
  <c r="V411" i="1"/>
  <c r="V412" i="1"/>
  <c r="V413" i="1"/>
  <c r="V414" i="1"/>
  <c r="V415" i="1"/>
  <c r="V416" i="1"/>
  <c r="V417" i="1"/>
  <c r="V418" i="1"/>
  <c r="V421" i="1"/>
  <c r="V422" i="1"/>
  <c r="V423" i="1"/>
  <c r="V424" i="1"/>
  <c r="V425" i="1"/>
  <c r="V426" i="1"/>
  <c r="V427" i="1"/>
  <c r="V428" i="1"/>
  <c r="V429" i="1"/>
  <c r="V430" i="1"/>
  <c r="V431" i="1"/>
  <c r="V433" i="1"/>
  <c r="V434" i="1"/>
  <c r="V435" i="1"/>
  <c r="V437" i="1"/>
  <c r="V438" i="1"/>
  <c r="V439" i="1"/>
  <c r="V440" i="1"/>
  <c r="V441" i="1"/>
  <c r="V443" i="1"/>
  <c r="V447" i="1"/>
  <c r="V450" i="1"/>
  <c r="V452" i="1"/>
  <c r="V453" i="1"/>
  <c r="V454" i="1"/>
  <c r="V455" i="1"/>
  <c r="V456" i="1"/>
  <c r="V457" i="1"/>
  <c r="V458" i="1"/>
  <c r="V459" i="1"/>
  <c r="V460" i="1"/>
  <c r="V461" i="1"/>
  <c r="V463" i="1"/>
  <c r="V467" i="1"/>
  <c r="V470" i="1"/>
  <c r="V471" i="1"/>
  <c r="V472" i="1"/>
  <c r="V473" i="1"/>
  <c r="V474" i="1"/>
  <c r="V475" i="1"/>
  <c r="V476" i="1"/>
  <c r="V477" i="1"/>
  <c r="V478" i="1"/>
  <c r="V479" i="1"/>
  <c r="V480" i="1"/>
  <c r="V482" i="1"/>
  <c r="V483" i="1"/>
  <c r="V488" i="1"/>
  <c r="V490" i="1"/>
  <c r="V492" i="1"/>
  <c r="V493" i="1"/>
  <c r="V496" i="1"/>
  <c r="V499" i="1"/>
  <c r="V501" i="1"/>
  <c r="V502" i="1"/>
  <c r="V505" i="1"/>
  <c r="V509" i="1"/>
  <c r="V510" i="1"/>
  <c r="V511" i="1"/>
  <c r="V512" i="1"/>
  <c r="V514" i="1"/>
  <c r="V515" i="1"/>
  <c r="V516" i="1"/>
  <c r="V517" i="1"/>
  <c r="V518" i="1"/>
  <c r="V521" i="1"/>
  <c r="V522" i="1"/>
  <c r="V525" i="1"/>
  <c r="V526" i="1"/>
  <c r="V527" i="1"/>
  <c r="V528" i="1"/>
  <c r="V529" i="1"/>
  <c r="V532" i="1"/>
  <c r="V533" i="1"/>
  <c r="T335" i="1"/>
  <c r="T294" i="1"/>
  <c r="D22" i="41"/>
  <c r="C22" i="41"/>
  <c r="C250" i="1"/>
  <c r="R250" i="1"/>
  <c r="S250" i="1"/>
  <c r="AD250" i="1"/>
  <c r="AE250" i="1"/>
  <c r="AF250" i="1"/>
  <c r="AG250" i="1"/>
  <c r="AH250" i="1"/>
  <c r="N2" i="36"/>
  <c r="C356" i="1"/>
  <c r="R356" i="1"/>
  <c r="S356" i="1"/>
  <c r="AD356" i="1"/>
  <c r="AE356" i="1"/>
  <c r="AF356" i="1"/>
  <c r="AG356" i="1"/>
  <c r="AH356" i="1"/>
  <c r="C239" i="1"/>
  <c r="R239" i="1"/>
  <c r="S239" i="1"/>
  <c r="AD239" i="1"/>
  <c r="AE239" i="1"/>
  <c r="AF239" i="1"/>
  <c r="AG239" i="1"/>
  <c r="AH239" i="1"/>
  <c r="C294" i="1"/>
  <c r="R294" i="1"/>
  <c r="S294" i="1"/>
  <c r="AD294" i="1"/>
  <c r="AE294" i="1"/>
  <c r="AF294" i="1"/>
  <c r="AG294" i="1"/>
  <c r="AH294" i="1"/>
  <c r="X40" i="17"/>
  <c r="C13" i="41"/>
  <c r="J41" i="36"/>
  <c r="R41" i="36"/>
  <c r="W41" i="36"/>
  <c r="Z41" i="36"/>
  <c r="AA41" i="36"/>
  <c r="AB41" i="36"/>
  <c r="AC41" i="36"/>
  <c r="AE41" i="36"/>
  <c r="AI41" i="36"/>
  <c r="D228" i="1"/>
  <c r="C228" i="1"/>
  <c r="R228" i="1"/>
  <c r="S228" i="1"/>
  <c r="AD228" i="1"/>
  <c r="AE228" i="1"/>
  <c r="AF228" i="1"/>
  <c r="AG228" i="1"/>
  <c r="AH228" i="1"/>
  <c r="C522" i="1"/>
  <c r="R522" i="1"/>
  <c r="S522" i="1"/>
  <c r="AD522" i="1"/>
  <c r="AE522" i="1"/>
  <c r="AF522" i="1"/>
  <c r="AG522" i="1"/>
  <c r="AH522" i="1"/>
  <c r="C335" i="1"/>
  <c r="R335" i="1"/>
  <c r="S335" i="1"/>
  <c r="AD335" i="1"/>
  <c r="AE335" i="1"/>
  <c r="AF335" i="1"/>
  <c r="AG335" i="1"/>
  <c r="AH335" i="1"/>
  <c r="AH12" i="41"/>
  <c r="AG12" i="41"/>
  <c r="AF12" i="41"/>
  <c r="AE12" i="41"/>
  <c r="AD12" i="41"/>
  <c r="T12" i="41"/>
  <c r="S12" i="41"/>
  <c r="R12" i="41"/>
  <c r="D12" i="41"/>
  <c r="C12" i="41"/>
  <c r="D11" i="41"/>
  <c r="C11" i="41"/>
  <c r="C9" i="41"/>
  <c r="AH207" i="1"/>
  <c r="AG207" i="1"/>
  <c r="AF207" i="1"/>
  <c r="AE207" i="1"/>
  <c r="AD207" i="1"/>
  <c r="S207" i="1"/>
  <c r="R207" i="1"/>
  <c r="C207" i="1"/>
  <c r="AH224" i="1"/>
  <c r="AG224" i="1"/>
  <c r="AF224" i="1"/>
  <c r="AE224" i="1"/>
  <c r="AD224" i="1"/>
  <c r="S224" i="1"/>
  <c r="R224" i="1"/>
  <c r="C224" i="1"/>
  <c r="C216" i="1"/>
  <c r="R216" i="1"/>
  <c r="S216" i="1"/>
  <c r="AD216" i="1"/>
  <c r="AE216" i="1"/>
  <c r="AF216" i="1"/>
  <c r="AG216" i="1"/>
  <c r="AH216" i="1"/>
  <c r="C274" i="1"/>
  <c r="R274" i="1"/>
  <c r="S274" i="1"/>
  <c r="AD274" i="1"/>
  <c r="AE274" i="1"/>
  <c r="AF274" i="1"/>
  <c r="AG274" i="1"/>
  <c r="AH274" i="1"/>
  <c r="C278" i="1"/>
  <c r="R278" i="1"/>
  <c r="S278" i="1"/>
  <c r="AD278" i="1"/>
  <c r="AE278" i="1"/>
  <c r="AF278" i="1"/>
  <c r="AG278" i="1"/>
  <c r="AH278" i="1"/>
  <c r="AI250" i="1" l="1"/>
  <c r="AI356" i="1"/>
  <c r="AI294" i="1"/>
  <c r="AI239" i="1"/>
  <c r="AI522" i="1"/>
  <c r="AI228" i="1"/>
  <c r="AI224" i="1"/>
  <c r="AI216" i="1"/>
  <c r="AI207" i="1"/>
  <c r="AI278" i="1"/>
  <c r="AI274" i="1"/>
  <c r="C230" i="1"/>
  <c r="R230" i="1"/>
  <c r="S230" i="1"/>
  <c r="AD230" i="1"/>
  <c r="AE230" i="1"/>
  <c r="AF230" i="1"/>
  <c r="AG230" i="1"/>
  <c r="AH230" i="1"/>
  <c r="C223" i="1"/>
  <c r="R223" i="1"/>
  <c r="S223" i="1"/>
  <c r="AD223" i="1"/>
  <c r="AE223" i="1"/>
  <c r="AF223" i="1"/>
  <c r="AG223" i="1"/>
  <c r="AH223" i="1"/>
  <c r="D165" i="1"/>
  <c r="AI223" i="1" l="1"/>
  <c r="AI230" i="1"/>
  <c r="W534" i="1"/>
  <c r="X534" i="1"/>
  <c r="Y534" i="1"/>
  <c r="Z534" i="1"/>
  <c r="AA534" i="1"/>
  <c r="AB534" i="1"/>
  <c r="B534" i="1"/>
  <c r="AK534" i="1"/>
  <c r="T264" i="1"/>
  <c r="D264" i="1"/>
  <c r="C264" i="1"/>
  <c r="R264" i="1"/>
  <c r="S264" i="1"/>
  <c r="AD264" i="1"/>
  <c r="AE264" i="1"/>
  <c r="AF264" i="1"/>
  <c r="AG264" i="1"/>
  <c r="AH264" i="1"/>
  <c r="T331" i="1"/>
  <c r="T153" i="1"/>
  <c r="D153" i="1"/>
  <c r="C153" i="1"/>
  <c r="R153" i="1"/>
  <c r="S153" i="1"/>
  <c r="AD153" i="1"/>
  <c r="AE153" i="1"/>
  <c r="AF153" i="1"/>
  <c r="AG153" i="1"/>
  <c r="AH153" i="1"/>
  <c r="AI264" i="1" l="1"/>
  <c r="AI153" i="1"/>
  <c r="T257" i="1" l="1"/>
  <c r="T263" i="1"/>
  <c r="T159" i="1"/>
  <c r="T316" i="1"/>
  <c r="T355" i="1"/>
  <c r="T378" i="1"/>
  <c r="T488" i="1"/>
  <c r="D257" i="1" l="1"/>
  <c r="D263" i="1"/>
  <c r="D159" i="1"/>
  <c r="D316" i="1"/>
  <c r="D355" i="1"/>
  <c r="D378" i="1"/>
  <c r="D488" i="1"/>
  <c r="C257" i="1"/>
  <c r="R257" i="1"/>
  <c r="S257" i="1"/>
  <c r="AD257" i="1"/>
  <c r="AE257" i="1"/>
  <c r="AF257" i="1"/>
  <c r="AG257" i="1"/>
  <c r="AH257" i="1"/>
  <c r="C263" i="1"/>
  <c r="R263" i="1"/>
  <c r="S263" i="1"/>
  <c r="AD263" i="1"/>
  <c r="AE263" i="1"/>
  <c r="AF263" i="1"/>
  <c r="AG263" i="1"/>
  <c r="AH263" i="1"/>
  <c r="C159" i="1"/>
  <c r="R159" i="1"/>
  <c r="S159" i="1"/>
  <c r="AD159" i="1"/>
  <c r="AE159" i="1"/>
  <c r="AF159" i="1"/>
  <c r="AG159" i="1"/>
  <c r="AH159" i="1"/>
  <c r="C316" i="1"/>
  <c r="R316" i="1"/>
  <c r="S316" i="1"/>
  <c r="AD316" i="1"/>
  <c r="AE316" i="1"/>
  <c r="AF316" i="1"/>
  <c r="AG316" i="1"/>
  <c r="AH316" i="1"/>
  <c r="C355" i="1"/>
  <c r="R355" i="1"/>
  <c r="S355" i="1"/>
  <c r="AD355" i="1"/>
  <c r="AE355" i="1"/>
  <c r="AF355" i="1"/>
  <c r="AG355" i="1"/>
  <c r="AH355" i="1"/>
  <c r="C378" i="1"/>
  <c r="R378" i="1"/>
  <c r="S378" i="1"/>
  <c r="AD378" i="1"/>
  <c r="AE378" i="1"/>
  <c r="AF378" i="1"/>
  <c r="AG378" i="1"/>
  <c r="AH378" i="1"/>
  <c r="C488" i="1"/>
  <c r="R488" i="1"/>
  <c r="S488" i="1"/>
  <c r="AD488" i="1"/>
  <c r="AE488" i="1"/>
  <c r="AF488" i="1"/>
  <c r="AG488" i="1"/>
  <c r="AH488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7" i="1"/>
  <c r="S87" i="1"/>
  <c r="T87" i="1"/>
  <c r="R86" i="1"/>
  <c r="S86" i="1"/>
  <c r="T86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5" i="1"/>
  <c r="S105" i="1"/>
  <c r="T105" i="1"/>
  <c r="R104" i="1"/>
  <c r="S104" i="1"/>
  <c r="T104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4" i="1"/>
  <c r="S154" i="1"/>
  <c r="T154" i="1"/>
  <c r="R155" i="1"/>
  <c r="L7" i="17" s="1"/>
  <c r="S155" i="1"/>
  <c r="T155" i="1"/>
  <c r="R156" i="1"/>
  <c r="L9" i="17" s="1"/>
  <c r="S156" i="1"/>
  <c r="T156" i="1"/>
  <c r="R157" i="1"/>
  <c r="S157" i="1"/>
  <c r="T157" i="1"/>
  <c r="R158" i="1"/>
  <c r="S158" i="1"/>
  <c r="T158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7" i="1"/>
  <c r="D87" i="1"/>
  <c r="C86" i="1"/>
  <c r="D86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5" i="1"/>
  <c r="D105" i="1"/>
  <c r="C104" i="1"/>
  <c r="D104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4" i="1"/>
  <c r="D154" i="1"/>
  <c r="C155" i="1"/>
  <c r="D155" i="1"/>
  <c r="C156" i="1"/>
  <c r="D156" i="1"/>
  <c r="C157" i="1"/>
  <c r="D157" i="1"/>
  <c r="C158" i="1"/>
  <c r="D158" i="1"/>
  <c r="C160" i="1"/>
  <c r="D160" i="1"/>
  <c r="C161" i="1"/>
  <c r="D161" i="1"/>
  <c r="C162" i="1"/>
  <c r="D162" i="1"/>
  <c r="C163" i="1"/>
  <c r="D163" i="1"/>
  <c r="C164" i="1"/>
  <c r="D164" i="1"/>
  <c r="C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6" i="1"/>
  <c r="D186" i="1"/>
  <c r="C185" i="1"/>
  <c r="D185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5" i="1"/>
  <c r="D225" i="1"/>
  <c r="C226" i="1"/>
  <c r="D226" i="1"/>
  <c r="C227" i="1"/>
  <c r="D227" i="1"/>
  <c r="C229" i="1"/>
  <c r="D229" i="1"/>
  <c r="C236" i="1"/>
  <c r="D236" i="1"/>
  <c r="C231" i="1"/>
  <c r="D231" i="1"/>
  <c r="C232" i="1"/>
  <c r="D232" i="1"/>
  <c r="C233" i="1"/>
  <c r="D233" i="1"/>
  <c r="C234" i="1"/>
  <c r="D234" i="1"/>
  <c r="C235" i="1"/>
  <c r="D235" i="1"/>
  <c r="C237" i="1"/>
  <c r="D237" i="1"/>
  <c r="C238" i="1"/>
  <c r="D238" i="1"/>
  <c r="D331" i="1"/>
  <c r="C331" i="1"/>
  <c r="R331" i="1"/>
  <c r="S331" i="1"/>
  <c r="AD331" i="1"/>
  <c r="AE331" i="1"/>
  <c r="AF331" i="1"/>
  <c r="AG331" i="1"/>
  <c r="AH331" i="1"/>
  <c r="L20" i="32"/>
  <c r="C301" i="1"/>
  <c r="C368" i="1"/>
  <c r="C416" i="1"/>
  <c r="C441" i="1"/>
  <c r="C394" i="1"/>
  <c r="C417" i="1"/>
  <c r="C460" i="1"/>
  <c r="C407" i="1"/>
  <c r="C418" i="1"/>
  <c r="C463" i="1"/>
  <c r="C379" i="1"/>
  <c r="C409" i="1"/>
  <c r="C447" i="1"/>
  <c r="C266" i="1"/>
  <c r="C307" i="1"/>
  <c r="C357" i="1"/>
  <c r="C395" i="1"/>
  <c r="C448" i="1"/>
  <c r="C521" i="1"/>
  <c r="C251" i="1"/>
  <c r="C374" i="1"/>
  <c r="C465" i="1"/>
  <c r="C252" i="1"/>
  <c r="C267" i="1"/>
  <c r="C282" i="1"/>
  <c r="C321" i="1"/>
  <c r="C332" i="1"/>
  <c r="C333" i="1"/>
  <c r="C396" i="1"/>
  <c r="C423" i="1"/>
  <c r="C424" i="1"/>
  <c r="C467" i="1"/>
  <c r="C479" i="1"/>
  <c r="C496" i="1"/>
  <c r="C283" i="1"/>
  <c r="C397" i="1"/>
  <c r="C430" i="1"/>
  <c r="C480" i="1"/>
  <c r="C296" i="1"/>
  <c r="C322" i="1"/>
  <c r="C358" i="1"/>
  <c r="C410" i="1"/>
  <c r="C449" i="1"/>
  <c r="C240" i="1"/>
  <c r="C241" i="1"/>
  <c r="C253" i="1"/>
  <c r="C261" i="1"/>
  <c r="C268" i="1"/>
  <c r="C308" i="1"/>
  <c r="C334" i="1"/>
  <c r="C359" i="1"/>
  <c r="C380" i="1"/>
  <c r="C411" i="1"/>
  <c r="C431" i="1"/>
  <c r="C432" i="1"/>
  <c r="C450" i="1"/>
  <c r="C468" i="1"/>
  <c r="C481" i="1"/>
  <c r="C497" i="1"/>
  <c r="C498" i="1"/>
  <c r="C523" i="1"/>
  <c r="C254" i="1"/>
  <c r="C265" i="1"/>
  <c r="C269" i="1"/>
  <c r="C279" i="1"/>
  <c r="C293" i="1"/>
  <c r="C297" i="1"/>
  <c r="C327" i="1"/>
  <c r="C369" i="1"/>
  <c r="C371" i="1"/>
  <c r="C387" i="1"/>
  <c r="C404" i="1"/>
  <c r="C405" i="1"/>
  <c r="C419" i="1"/>
  <c r="C486" i="1"/>
  <c r="C489" i="1"/>
  <c r="C519" i="1"/>
  <c r="C531" i="1"/>
  <c r="C275" i="1"/>
  <c r="C302" i="1"/>
  <c r="C317" i="1"/>
  <c r="C344" i="1"/>
  <c r="C370" i="1"/>
  <c r="C388" i="1"/>
  <c r="C420" i="1"/>
  <c r="C442" i="1"/>
  <c r="C476" i="1"/>
  <c r="C490" i="1"/>
  <c r="C516" i="1"/>
  <c r="C533" i="1"/>
  <c r="C303" i="1"/>
  <c r="C345" i="1"/>
  <c r="C389" i="1"/>
  <c r="C458" i="1"/>
  <c r="C487" i="1"/>
  <c r="C517" i="1"/>
  <c r="C284" i="1"/>
  <c r="C309" i="1"/>
  <c r="C336" i="1"/>
  <c r="C360" i="1"/>
  <c r="C398" i="1"/>
  <c r="C433" i="1"/>
  <c r="C482" i="1"/>
  <c r="C499" i="1"/>
  <c r="C524" i="1"/>
  <c r="C242" i="1"/>
  <c r="C285" i="1"/>
  <c r="C306" i="1"/>
  <c r="C361" i="1"/>
  <c r="C381" i="1"/>
  <c r="C425" i="1"/>
  <c r="C469" i="1"/>
  <c r="C510" i="1"/>
  <c r="C243" i="1"/>
  <c r="C286" i="1"/>
  <c r="C298" i="1"/>
  <c r="C346" i="1"/>
  <c r="C399" i="1"/>
  <c r="C412" i="1"/>
  <c r="C434" i="1"/>
  <c r="C459" i="1"/>
  <c r="C470" i="1"/>
  <c r="C491" i="1"/>
  <c r="C500" i="1"/>
  <c r="C501" i="1"/>
  <c r="C244" i="1"/>
  <c r="C249" i="1"/>
  <c r="C295" i="1"/>
  <c r="C305" i="1"/>
  <c r="C347" i="1"/>
  <c r="C352" i="1"/>
  <c r="C362" i="1"/>
  <c r="C375" i="1"/>
  <c r="C408" i="1"/>
  <c r="C422" i="1"/>
  <c r="C435" i="1"/>
  <c r="C445" i="1"/>
  <c r="C478" i="1"/>
  <c r="C495" i="1"/>
  <c r="C509" i="1"/>
  <c r="C530" i="1"/>
  <c r="C270" i="1"/>
  <c r="C255" i="1"/>
  <c r="C382" i="1"/>
  <c r="C451" i="1"/>
  <c r="C277" i="1"/>
  <c r="C259" i="1"/>
  <c r="C329" i="1"/>
  <c r="C337" i="1"/>
  <c r="C372" i="1"/>
  <c r="C383" i="1"/>
  <c r="C391" i="1"/>
  <c r="C436" i="1"/>
  <c r="C444" i="1"/>
  <c r="C464" i="1"/>
  <c r="C507" i="1"/>
  <c r="C280" i="1"/>
  <c r="C287" i="1"/>
  <c r="C354" i="1"/>
  <c r="C376" i="1"/>
  <c r="C421" i="1"/>
  <c r="C461" i="1"/>
  <c r="C502" i="1"/>
  <c r="C520" i="1"/>
  <c r="C276" i="1"/>
  <c r="C304" i="1"/>
  <c r="C318" i="1"/>
  <c r="C348" i="1"/>
  <c r="C373" i="1"/>
  <c r="C406" i="1"/>
  <c r="C437" i="1"/>
  <c r="C477" i="1"/>
  <c r="C492" i="1"/>
  <c r="C518" i="1"/>
  <c r="C271" i="1"/>
  <c r="C310" i="1"/>
  <c r="C323" i="1"/>
  <c r="C363" i="1"/>
  <c r="C384" i="1"/>
  <c r="C413" i="1"/>
  <c r="C471" i="1"/>
  <c r="C493" i="1"/>
  <c r="C525" i="1"/>
  <c r="C258" i="1"/>
  <c r="C272" i="1"/>
  <c r="C311" i="1"/>
  <c r="C319" i="1"/>
  <c r="C324" i="1"/>
  <c r="C364" i="1"/>
  <c r="C400" i="1"/>
  <c r="C414" i="1"/>
  <c r="C438" i="1"/>
  <c r="C452" i="1"/>
  <c r="C472" i="1"/>
  <c r="C494" i="1"/>
  <c r="C511" i="1"/>
  <c r="C532" i="1"/>
  <c r="C245" i="1"/>
  <c r="C312" i="1"/>
  <c r="C325" i="1"/>
  <c r="C415" i="1"/>
  <c r="C473" i="1"/>
  <c r="C512" i="1"/>
  <c r="C246" i="1"/>
  <c r="C273" i="1"/>
  <c r="C288" i="1"/>
  <c r="C313" i="1"/>
  <c r="C338" i="1"/>
  <c r="C365" i="1"/>
  <c r="C401" i="1"/>
  <c r="C426" i="1"/>
  <c r="C453" i="1"/>
  <c r="C483" i="1"/>
  <c r="C503" i="1"/>
  <c r="C526" i="1"/>
  <c r="C289" i="1"/>
  <c r="C320" i="1"/>
  <c r="C339" i="1"/>
  <c r="C366" i="1"/>
  <c r="C427" i="1"/>
  <c r="C454" i="1"/>
  <c r="C484" i="1"/>
  <c r="C504" i="1"/>
  <c r="C527" i="1"/>
  <c r="C281" i="1"/>
  <c r="C260" i="1"/>
  <c r="C328" i="1"/>
  <c r="C330" i="1"/>
  <c r="C349" i="1"/>
  <c r="C350" i="1"/>
  <c r="C351" i="1"/>
  <c r="C353" i="1"/>
  <c r="C377" i="1"/>
  <c r="C390" i="1"/>
  <c r="C392" i="1"/>
  <c r="C393" i="1"/>
  <c r="C443" i="1"/>
  <c r="C446" i="1"/>
  <c r="C462" i="1"/>
  <c r="C466" i="1"/>
  <c r="C508" i="1"/>
  <c r="C290" i="1"/>
  <c r="C314" i="1"/>
  <c r="C340" i="1"/>
  <c r="C385" i="1"/>
  <c r="C428" i="1"/>
  <c r="C455" i="1"/>
  <c r="C505" i="1"/>
  <c r="C256" i="1"/>
  <c r="C262" i="1"/>
  <c r="C247" i="1"/>
  <c r="C299" i="1"/>
  <c r="C315" i="1"/>
  <c r="C341" i="1"/>
  <c r="C367" i="1"/>
  <c r="C386" i="1"/>
  <c r="C402" i="1"/>
  <c r="C439" i="1"/>
  <c r="C474" i="1"/>
  <c r="C485" i="1"/>
  <c r="C506" i="1"/>
  <c r="C513" i="1"/>
  <c r="C528" i="1"/>
  <c r="C342" i="1"/>
  <c r="C514" i="1"/>
  <c r="C248" i="1"/>
  <c r="C291" i="1"/>
  <c r="C343" i="1"/>
  <c r="C403" i="1"/>
  <c r="C440" i="1"/>
  <c r="C475" i="1"/>
  <c r="C515" i="1"/>
  <c r="C300" i="1"/>
  <c r="C456" i="1"/>
  <c r="C292" i="1"/>
  <c r="C326" i="1"/>
  <c r="C529" i="1"/>
  <c r="C429" i="1"/>
  <c r="C457" i="1"/>
  <c r="R301" i="1"/>
  <c r="R368" i="1"/>
  <c r="R416" i="1"/>
  <c r="R441" i="1"/>
  <c r="R394" i="1"/>
  <c r="R417" i="1"/>
  <c r="R460" i="1"/>
  <c r="F23" i="25" s="1"/>
  <c r="R407" i="1"/>
  <c r="R418" i="1"/>
  <c r="R463" i="1"/>
  <c r="F25" i="25" s="1"/>
  <c r="R379" i="1"/>
  <c r="R409" i="1"/>
  <c r="R447" i="1"/>
  <c r="F27" i="25" s="1"/>
  <c r="R222" i="1"/>
  <c r="R266" i="1"/>
  <c r="R307" i="1"/>
  <c r="R357" i="1"/>
  <c r="R395" i="1"/>
  <c r="R448" i="1"/>
  <c r="R521" i="1"/>
  <c r="R251" i="1"/>
  <c r="R374" i="1"/>
  <c r="R465" i="1"/>
  <c r="R168" i="1"/>
  <c r="R169" i="1"/>
  <c r="R186" i="1"/>
  <c r="R185" i="1"/>
  <c r="R206" i="1"/>
  <c r="R225" i="1"/>
  <c r="R252" i="1"/>
  <c r="R267" i="1"/>
  <c r="R282" i="1"/>
  <c r="R321" i="1"/>
  <c r="R332" i="1"/>
  <c r="R333" i="1"/>
  <c r="R396" i="1"/>
  <c r="R423" i="1"/>
  <c r="R424" i="1"/>
  <c r="R467" i="1"/>
  <c r="R479" i="1"/>
  <c r="R496" i="1"/>
  <c r="R283" i="1"/>
  <c r="L14" i="17" s="1"/>
  <c r="R397" i="1"/>
  <c r="R430" i="1"/>
  <c r="R480" i="1"/>
  <c r="R296" i="1"/>
  <c r="R322" i="1"/>
  <c r="R358" i="1"/>
  <c r="E37" i="25"/>
  <c r="R410" i="1"/>
  <c r="R449" i="1"/>
  <c r="R170" i="1"/>
  <c r="R208" i="1"/>
  <c r="R226" i="1"/>
  <c r="R227" i="1"/>
  <c r="R231" i="1"/>
  <c r="R240" i="1"/>
  <c r="R241" i="1"/>
  <c r="R253" i="1"/>
  <c r="R261" i="1"/>
  <c r="R268" i="1"/>
  <c r="R308" i="1"/>
  <c r="R334" i="1"/>
  <c r="R359" i="1"/>
  <c r="R380" i="1"/>
  <c r="R411" i="1"/>
  <c r="R431" i="1"/>
  <c r="R432" i="1"/>
  <c r="R450" i="1"/>
  <c r="R468" i="1"/>
  <c r="R481" i="1"/>
  <c r="R497" i="1"/>
  <c r="R498" i="1"/>
  <c r="R523" i="1"/>
  <c r="R254" i="1"/>
  <c r="R265" i="1"/>
  <c r="R269" i="1"/>
  <c r="R279" i="1"/>
  <c r="R293" i="1"/>
  <c r="R297" i="1"/>
  <c r="R327" i="1"/>
  <c r="R369" i="1"/>
  <c r="R371" i="1"/>
  <c r="R387" i="1"/>
  <c r="R404" i="1"/>
  <c r="R405" i="1"/>
  <c r="R419" i="1"/>
  <c r="R486" i="1"/>
  <c r="R489" i="1"/>
  <c r="R519" i="1"/>
  <c r="R531" i="1"/>
  <c r="R193" i="1"/>
  <c r="R218" i="1"/>
  <c r="R237" i="1"/>
  <c r="R275" i="1"/>
  <c r="R302" i="1"/>
  <c r="R317" i="1"/>
  <c r="R344" i="1"/>
  <c r="R370" i="1"/>
  <c r="R388" i="1"/>
  <c r="R420" i="1"/>
  <c r="R442" i="1"/>
  <c r="R476" i="1"/>
  <c r="R490" i="1"/>
  <c r="R516" i="1"/>
  <c r="R533" i="1"/>
  <c r="R180" i="1"/>
  <c r="R187" i="1"/>
  <c r="R303" i="1"/>
  <c r="R345" i="1"/>
  <c r="R389" i="1"/>
  <c r="R458" i="1"/>
  <c r="R487" i="1"/>
  <c r="R517" i="1"/>
  <c r="R188" i="1"/>
  <c r="R209" i="1"/>
  <c r="R284" i="1"/>
  <c r="R309" i="1"/>
  <c r="R336" i="1"/>
  <c r="R360" i="1"/>
  <c r="R398" i="1"/>
  <c r="R433" i="1"/>
  <c r="R482" i="1"/>
  <c r="R499" i="1"/>
  <c r="R524" i="1"/>
  <c r="R197" i="1"/>
  <c r="R232" i="1"/>
  <c r="R242" i="1"/>
  <c r="R285" i="1"/>
  <c r="R306" i="1"/>
  <c r="R361" i="1"/>
  <c r="R381" i="1"/>
  <c r="R425" i="1"/>
  <c r="R469" i="1"/>
  <c r="R510" i="1"/>
  <c r="R171" i="1"/>
  <c r="R189" i="1"/>
  <c r="R243" i="1"/>
  <c r="R286" i="1"/>
  <c r="R298" i="1"/>
  <c r="R346" i="1"/>
  <c r="R399" i="1"/>
  <c r="R412" i="1"/>
  <c r="R434" i="1"/>
  <c r="R459" i="1"/>
  <c r="R470" i="1"/>
  <c r="R491" i="1"/>
  <c r="R500" i="1"/>
  <c r="R501" i="1"/>
  <c r="R181" i="1"/>
  <c r="R196" i="1"/>
  <c r="R210" i="1"/>
  <c r="R229" i="1"/>
  <c r="R244" i="1"/>
  <c r="R249" i="1"/>
  <c r="R295" i="1"/>
  <c r="R305" i="1"/>
  <c r="R347" i="1"/>
  <c r="R352" i="1"/>
  <c r="R362" i="1"/>
  <c r="R375" i="1"/>
  <c r="R408" i="1"/>
  <c r="R422" i="1"/>
  <c r="R435" i="1"/>
  <c r="R445" i="1"/>
  <c r="R478" i="1"/>
  <c r="R495" i="1"/>
  <c r="R509" i="1"/>
  <c r="R530" i="1"/>
  <c r="R172" i="1"/>
  <c r="R198" i="1"/>
  <c r="R211" i="1"/>
  <c r="R270" i="1"/>
  <c r="R255" i="1"/>
  <c r="R382" i="1"/>
  <c r="R451" i="1"/>
  <c r="R182" i="1"/>
  <c r="R202" i="1"/>
  <c r="R277" i="1"/>
  <c r="R259" i="1"/>
  <c r="R329" i="1"/>
  <c r="R337" i="1"/>
  <c r="R372" i="1"/>
  <c r="R383" i="1"/>
  <c r="R391" i="1"/>
  <c r="R436" i="1"/>
  <c r="R444" i="1"/>
  <c r="R464" i="1"/>
  <c r="R507" i="1"/>
  <c r="R183" i="1"/>
  <c r="R204" i="1"/>
  <c r="R220" i="1"/>
  <c r="R280" i="1"/>
  <c r="R203" i="1"/>
  <c r="R287" i="1"/>
  <c r="R354" i="1"/>
  <c r="R376" i="1"/>
  <c r="R421" i="1"/>
  <c r="R461" i="1"/>
  <c r="R502" i="1"/>
  <c r="R520" i="1"/>
  <c r="R194" i="1"/>
  <c r="R219" i="1"/>
  <c r="R276" i="1"/>
  <c r="R304" i="1"/>
  <c r="R318" i="1"/>
  <c r="R348" i="1"/>
  <c r="R373" i="1"/>
  <c r="R406" i="1"/>
  <c r="R437" i="1"/>
  <c r="R477" i="1"/>
  <c r="R492" i="1"/>
  <c r="R518" i="1"/>
  <c r="R173" i="1"/>
  <c r="R271" i="1"/>
  <c r="R310" i="1"/>
  <c r="R323" i="1"/>
  <c r="R363" i="1"/>
  <c r="R384" i="1"/>
  <c r="R413" i="1"/>
  <c r="R471" i="1"/>
  <c r="R493" i="1"/>
  <c r="R525" i="1"/>
  <c r="R174" i="1"/>
  <c r="R195" i="1"/>
  <c r="R212" i="1"/>
  <c r="R233" i="1"/>
  <c r="R258" i="1"/>
  <c r="R272" i="1"/>
  <c r="R311" i="1"/>
  <c r="R319" i="1"/>
  <c r="R324" i="1"/>
  <c r="R364" i="1"/>
  <c r="R400" i="1"/>
  <c r="R414" i="1"/>
  <c r="R438" i="1"/>
  <c r="R452" i="1"/>
  <c r="R472" i="1"/>
  <c r="R494" i="1"/>
  <c r="R511" i="1"/>
  <c r="R532" i="1"/>
  <c r="R213" i="1"/>
  <c r="R245" i="1"/>
  <c r="R312" i="1"/>
  <c r="R325" i="1"/>
  <c r="R415" i="1"/>
  <c r="R473" i="1"/>
  <c r="R512" i="1"/>
  <c r="R175" i="1"/>
  <c r="R199" i="1"/>
  <c r="R238" i="1"/>
  <c r="R246" i="1"/>
  <c r="R273" i="1"/>
  <c r="R288" i="1"/>
  <c r="R313" i="1"/>
  <c r="R338" i="1"/>
  <c r="R365" i="1"/>
  <c r="R401" i="1"/>
  <c r="R426" i="1"/>
  <c r="R453" i="1"/>
  <c r="R483" i="1"/>
  <c r="R503" i="1"/>
  <c r="R526" i="1"/>
  <c r="R176" i="1"/>
  <c r="R200" i="1"/>
  <c r="R234" i="1"/>
  <c r="R289" i="1"/>
  <c r="R320" i="1"/>
  <c r="R339" i="1"/>
  <c r="R366" i="1"/>
  <c r="R427" i="1"/>
  <c r="R454" i="1"/>
  <c r="R484" i="1"/>
  <c r="R504" i="1"/>
  <c r="R527" i="1"/>
  <c r="R184" i="1"/>
  <c r="R205" i="1"/>
  <c r="R221" i="1"/>
  <c r="R281" i="1"/>
  <c r="R260" i="1"/>
  <c r="R328" i="1"/>
  <c r="R330" i="1"/>
  <c r="R349" i="1"/>
  <c r="R350" i="1"/>
  <c r="R351" i="1"/>
  <c r="R353" i="1"/>
  <c r="R377" i="1"/>
  <c r="R390" i="1"/>
  <c r="R392" i="1"/>
  <c r="R393" i="1"/>
  <c r="R443" i="1"/>
  <c r="R446" i="1"/>
  <c r="R462" i="1"/>
  <c r="R466" i="1"/>
  <c r="R508" i="1"/>
  <c r="R177" i="1"/>
  <c r="R190" i="1"/>
  <c r="R214" i="1"/>
  <c r="R235" i="1"/>
  <c r="R290" i="1"/>
  <c r="R314" i="1"/>
  <c r="R340" i="1"/>
  <c r="R385" i="1"/>
  <c r="R428" i="1"/>
  <c r="R455" i="1"/>
  <c r="R505" i="1"/>
  <c r="R256" i="1"/>
  <c r="R262" i="1"/>
  <c r="R178" i="1"/>
  <c r="R191" i="1"/>
  <c r="R215" i="1"/>
  <c r="R247" i="1"/>
  <c r="R299" i="1"/>
  <c r="R315" i="1"/>
  <c r="R341" i="1"/>
  <c r="R367" i="1"/>
  <c r="R386" i="1"/>
  <c r="R402" i="1"/>
  <c r="R439" i="1"/>
  <c r="R474" i="1"/>
  <c r="R485" i="1"/>
  <c r="R506" i="1"/>
  <c r="R513" i="1"/>
  <c r="R528" i="1"/>
  <c r="R342" i="1"/>
  <c r="R514" i="1"/>
  <c r="R192" i="1"/>
  <c r="R217" i="1"/>
  <c r="R236" i="1"/>
  <c r="R248" i="1"/>
  <c r="R291" i="1"/>
  <c r="R343" i="1"/>
  <c r="R403" i="1"/>
  <c r="R440" i="1"/>
  <c r="R475" i="1"/>
  <c r="R515" i="1"/>
  <c r="R179" i="1"/>
  <c r="R300" i="1"/>
  <c r="R456" i="1"/>
  <c r="R201" i="1"/>
  <c r="R292" i="1"/>
  <c r="R326" i="1"/>
  <c r="R529" i="1"/>
  <c r="R429" i="1"/>
  <c r="R457" i="1"/>
  <c r="S301" i="1"/>
  <c r="S368" i="1"/>
  <c r="S416" i="1"/>
  <c r="S441" i="1"/>
  <c r="S394" i="1"/>
  <c r="S417" i="1"/>
  <c r="S460" i="1"/>
  <c r="S407" i="1"/>
  <c r="S418" i="1"/>
  <c r="S463" i="1"/>
  <c r="S379" i="1"/>
  <c r="S409" i="1"/>
  <c r="S447" i="1"/>
  <c r="S222" i="1"/>
  <c r="S266" i="1"/>
  <c r="S307" i="1"/>
  <c r="S357" i="1"/>
  <c r="S395" i="1"/>
  <c r="S448" i="1"/>
  <c r="S521" i="1"/>
  <c r="S251" i="1"/>
  <c r="S374" i="1"/>
  <c r="S465" i="1"/>
  <c r="S168" i="1"/>
  <c r="S169" i="1"/>
  <c r="S186" i="1"/>
  <c r="S185" i="1"/>
  <c r="S206" i="1"/>
  <c r="S225" i="1"/>
  <c r="S252" i="1"/>
  <c r="S267" i="1"/>
  <c r="S282" i="1"/>
  <c r="S321" i="1"/>
  <c r="S332" i="1"/>
  <c r="S333" i="1"/>
  <c r="S396" i="1"/>
  <c r="S423" i="1"/>
  <c r="S424" i="1"/>
  <c r="S467" i="1"/>
  <c r="S479" i="1"/>
  <c r="S496" i="1"/>
  <c r="S283" i="1"/>
  <c r="S397" i="1"/>
  <c r="S430" i="1"/>
  <c r="S480" i="1"/>
  <c r="S296" i="1"/>
  <c r="S322" i="1"/>
  <c r="S358" i="1"/>
  <c r="S410" i="1"/>
  <c r="S449" i="1"/>
  <c r="S170" i="1"/>
  <c r="S208" i="1"/>
  <c r="S226" i="1"/>
  <c r="S227" i="1"/>
  <c r="S231" i="1"/>
  <c r="S240" i="1"/>
  <c r="S241" i="1"/>
  <c r="S253" i="1"/>
  <c r="S261" i="1"/>
  <c r="S268" i="1"/>
  <c r="S308" i="1"/>
  <c r="S334" i="1"/>
  <c r="S359" i="1"/>
  <c r="S380" i="1"/>
  <c r="S411" i="1"/>
  <c r="S431" i="1"/>
  <c r="S432" i="1"/>
  <c r="S450" i="1"/>
  <c r="S468" i="1"/>
  <c r="S481" i="1"/>
  <c r="S497" i="1"/>
  <c r="S498" i="1"/>
  <c r="S523" i="1"/>
  <c r="S254" i="1"/>
  <c r="S265" i="1"/>
  <c r="S269" i="1"/>
  <c r="S279" i="1"/>
  <c r="S293" i="1"/>
  <c r="S297" i="1"/>
  <c r="S327" i="1"/>
  <c r="S369" i="1"/>
  <c r="S371" i="1"/>
  <c r="S387" i="1"/>
  <c r="S404" i="1"/>
  <c r="S405" i="1"/>
  <c r="S419" i="1"/>
  <c r="S486" i="1"/>
  <c r="S489" i="1"/>
  <c r="S519" i="1"/>
  <c r="S531" i="1"/>
  <c r="S193" i="1"/>
  <c r="S218" i="1"/>
  <c r="S237" i="1"/>
  <c r="S275" i="1"/>
  <c r="S302" i="1"/>
  <c r="S317" i="1"/>
  <c r="S344" i="1"/>
  <c r="S370" i="1"/>
  <c r="S388" i="1"/>
  <c r="S420" i="1"/>
  <c r="S442" i="1"/>
  <c r="S476" i="1"/>
  <c r="S490" i="1"/>
  <c r="S516" i="1"/>
  <c r="S533" i="1"/>
  <c r="S180" i="1"/>
  <c r="S187" i="1"/>
  <c r="S303" i="1"/>
  <c r="S345" i="1"/>
  <c r="S389" i="1"/>
  <c r="S458" i="1"/>
  <c r="S487" i="1"/>
  <c r="S517" i="1"/>
  <c r="S188" i="1"/>
  <c r="S209" i="1"/>
  <c r="S284" i="1"/>
  <c r="S309" i="1"/>
  <c r="S336" i="1"/>
  <c r="S360" i="1"/>
  <c r="S398" i="1"/>
  <c r="S433" i="1"/>
  <c r="S482" i="1"/>
  <c r="S499" i="1"/>
  <c r="S524" i="1"/>
  <c r="S197" i="1"/>
  <c r="S232" i="1"/>
  <c r="S242" i="1"/>
  <c r="S285" i="1"/>
  <c r="S306" i="1"/>
  <c r="S361" i="1"/>
  <c r="S381" i="1"/>
  <c r="S425" i="1"/>
  <c r="S469" i="1"/>
  <c r="S510" i="1"/>
  <c r="S171" i="1"/>
  <c r="S189" i="1"/>
  <c r="S243" i="1"/>
  <c r="S286" i="1"/>
  <c r="S298" i="1"/>
  <c r="S346" i="1"/>
  <c r="S399" i="1"/>
  <c r="S412" i="1"/>
  <c r="S434" i="1"/>
  <c r="S459" i="1"/>
  <c r="S470" i="1"/>
  <c r="S491" i="1"/>
  <c r="S500" i="1"/>
  <c r="S501" i="1"/>
  <c r="S181" i="1"/>
  <c r="S196" i="1"/>
  <c r="S210" i="1"/>
  <c r="S229" i="1"/>
  <c r="S244" i="1"/>
  <c r="S249" i="1"/>
  <c r="S295" i="1"/>
  <c r="S305" i="1"/>
  <c r="S347" i="1"/>
  <c r="S352" i="1"/>
  <c r="S362" i="1"/>
  <c r="S375" i="1"/>
  <c r="S408" i="1"/>
  <c r="S422" i="1"/>
  <c r="S435" i="1"/>
  <c r="S445" i="1"/>
  <c r="S478" i="1"/>
  <c r="S495" i="1"/>
  <c r="S509" i="1"/>
  <c r="S530" i="1"/>
  <c r="S172" i="1"/>
  <c r="S198" i="1"/>
  <c r="S211" i="1"/>
  <c r="S270" i="1"/>
  <c r="S255" i="1"/>
  <c r="S382" i="1"/>
  <c r="S451" i="1"/>
  <c r="S182" i="1"/>
  <c r="S202" i="1"/>
  <c r="S277" i="1"/>
  <c r="S259" i="1"/>
  <c r="S329" i="1"/>
  <c r="S337" i="1"/>
  <c r="S372" i="1"/>
  <c r="S383" i="1"/>
  <c r="S391" i="1"/>
  <c r="S436" i="1"/>
  <c r="S444" i="1"/>
  <c r="S464" i="1"/>
  <c r="S507" i="1"/>
  <c r="S183" i="1"/>
  <c r="S204" i="1"/>
  <c r="S220" i="1"/>
  <c r="S280" i="1"/>
  <c r="S203" i="1"/>
  <c r="S287" i="1"/>
  <c r="S354" i="1"/>
  <c r="S376" i="1"/>
  <c r="S421" i="1"/>
  <c r="S461" i="1"/>
  <c r="S502" i="1"/>
  <c r="S520" i="1"/>
  <c r="S194" i="1"/>
  <c r="S219" i="1"/>
  <c r="S276" i="1"/>
  <c r="S304" i="1"/>
  <c r="S318" i="1"/>
  <c r="S348" i="1"/>
  <c r="S373" i="1"/>
  <c r="S406" i="1"/>
  <c r="S437" i="1"/>
  <c r="S477" i="1"/>
  <c r="S492" i="1"/>
  <c r="S518" i="1"/>
  <c r="S173" i="1"/>
  <c r="S271" i="1"/>
  <c r="S310" i="1"/>
  <c r="S323" i="1"/>
  <c r="S363" i="1"/>
  <c r="S384" i="1"/>
  <c r="S413" i="1"/>
  <c r="S471" i="1"/>
  <c r="S493" i="1"/>
  <c r="S525" i="1"/>
  <c r="S174" i="1"/>
  <c r="S195" i="1"/>
  <c r="S212" i="1"/>
  <c r="S233" i="1"/>
  <c r="S258" i="1"/>
  <c r="S272" i="1"/>
  <c r="S311" i="1"/>
  <c r="S319" i="1"/>
  <c r="S324" i="1"/>
  <c r="S364" i="1"/>
  <c r="S400" i="1"/>
  <c r="S414" i="1"/>
  <c r="S438" i="1"/>
  <c r="S452" i="1"/>
  <c r="S472" i="1"/>
  <c r="S494" i="1"/>
  <c r="S511" i="1"/>
  <c r="S532" i="1"/>
  <c r="S213" i="1"/>
  <c r="S245" i="1"/>
  <c r="S312" i="1"/>
  <c r="S325" i="1"/>
  <c r="S415" i="1"/>
  <c r="S473" i="1"/>
  <c r="S512" i="1"/>
  <c r="S175" i="1"/>
  <c r="S199" i="1"/>
  <c r="S238" i="1"/>
  <c r="S246" i="1"/>
  <c r="S273" i="1"/>
  <c r="S288" i="1"/>
  <c r="S313" i="1"/>
  <c r="S338" i="1"/>
  <c r="S365" i="1"/>
  <c r="S401" i="1"/>
  <c r="S426" i="1"/>
  <c r="S453" i="1"/>
  <c r="S483" i="1"/>
  <c r="S503" i="1"/>
  <c r="S526" i="1"/>
  <c r="S176" i="1"/>
  <c r="S200" i="1"/>
  <c r="S234" i="1"/>
  <c r="S289" i="1"/>
  <c r="S320" i="1"/>
  <c r="S339" i="1"/>
  <c r="S366" i="1"/>
  <c r="S427" i="1"/>
  <c r="S454" i="1"/>
  <c r="S484" i="1"/>
  <c r="S504" i="1"/>
  <c r="S527" i="1"/>
  <c r="S184" i="1"/>
  <c r="S205" i="1"/>
  <c r="S221" i="1"/>
  <c r="S281" i="1"/>
  <c r="S260" i="1"/>
  <c r="S328" i="1"/>
  <c r="S330" i="1"/>
  <c r="S349" i="1"/>
  <c r="S350" i="1"/>
  <c r="S351" i="1"/>
  <c r="S353" i="1"/>
  <c r="S377" i="1"/>
  <c r="S390" i="1"/>
  <c r="S392" i="1"/>
  <c r="S393" i="1"/>
  <c r="S443" i="1"/>
  <c r="S446" i="1"/>
  <c r="S462" i="1"/>
  <c r="S466" i="1"/>
  <c r="S508" i="1"/>
  <c r="S177" i="1"/>
  <c r="S190" i="1"/>
  <c r="S214" i="1"/>
  <c r="S235" i="1"/>
  <c r="S290" i="1"/>
  <c r="S314" i="1"/>
  <c r="S340" i="1"/>
  <c r="S385" i="1"/>
  <c r="S428" i="1"/>
  <c r="S455" i="1"/>
  <c r="S505" i="1"/>
  <c r="S256" i="1"/>
  <c r="S262" i="1"/>
  <c r="S178" i="1"/>
  <c r="S191" i="1"/>
  <c r="S215" i="1"/>
  <c r="S247" i="1"/>
  <c r="S299" i="1"/>
  <c r="S315" i="1"/>
  <c r="S341" i="1"/>
  <c r="S367" i="1"/>
  <c r="S386" i="1"/>
  <c r="S402" i="1"/>
  <c r="S439" i="1"/>
  <c r="S474" i="1"/>
  <c r="S485" i="1"/>
  <c r="S506" i="1"/>
  <c r="S513" i="1"/>
  <c r="S528" i="1"/>
  <c r="S342" i="1"/>
  <c r="S514" i="1"/>
  <c r="S192" i="1"/>
  <c r="S217" i="1"/>
  <c r="S236" i="1"/>
  <c r="S248" i="1"/>
  <c r="S291" i="1"/>
  <c r="S343" i="1"/>
  <c r="S403" i="1"/>
  <c r="S440" i="1"/>
  <c r="S475" i="1"/>
  <c r="S515" i="1"/>
  <c r="S179" i="1"/>
  <c r="S300" i="1"/>
  <c r="S456" i="1"/>
  <c r="S201" i="1"/>
  <c r="S292" i="1"/>
  <c r="S326" i="1"/>
  <c r="S529" i="1"/>
  <c r="S429" i="1"/>
  <c r="S457" i="1"/>
  <c r="AD146" i="1"/>
  <c r="AD301" i="1"/>
  <c r="AD368" i="1"/>
  <c r="AD416" i="1"/>
  <c r="AD441" i="1"/>
  <c r="AD394" i="1"/>
  <c r="AD155" i="1"/>
  <c r="AD417" i="1"/>
  <c r="AD460" i="1"/>
  <c r="AD407" i="1"/>
  <c r="AD156" i="1"/>
  <c r="AD418" i="1"/>
  <c r="AD463" i="1"/>
  <c r="AD379" i="1"/>
  <c r="AD147" i="1"/>
  <c r="AD409" i="1"/>
  <c r="AD447" i="1"/>
  <c r="AD136" i="1"/>
  <c r="AD222" i="1"/>
  <c r="AD266" i="1"/>
  <c r="AD307" i="1"/>
  <c r="AD357" i="1"/>
  <c r="AD395" i="1"/>
  <c r="AD448" i="1"/>
  <c r="AD521" i="1"/>
  <c r="AD251" i="1"/>
  <c r="AD374" i="1"/>
  <c r="AD465" i="1"/>
  <c r="AD125" i="1"/>
  <c r="AD126" i="1"/>
  <c r="AD137" i="1"/>
  <c r="AD138" i="1"/>
  <c r="AD168" i="1"/>
  <c r="AD169" i="1"/>
  <c r="AD186" i="1"/>
  <c r="AD185" i="1"/>
  <c r="AD206" i="1"/>
  <c r="AD225" i="1"/>
  <c r="AD252" i="1"/>
  <c r="AD267" i="1"/>
  <c r="AD282" i="1"/>
  <c r="AD321" i="1"/>
  <c r="AD332" i="1"/>
  <c r="AD333" i="1"/>
  <c r="AD396" i="1"/>
  <c r="AD423" i="1"/>
  <c r="AD424" i="1"/>
  <c r="AD467" i="1"/>
  <c r="AD479" i="1"/>
  <c r="AD496" i="1"/>
  <c r="AD283" i="1"/>
  <c r="AD397" i="1"/>
  <c r="AD430" i="1"/>
  <c r="AD480" i="1"/>
  <c r="AD296" i="1"/>
  <c r="AD322" i="1"/>
  <c r="AD358" i="1"/>
  <c r="AD410" i="1"/>
  <c r="AD449" i="1"/>
  <c r="AD139" i="1"/>
  <c r="AD170" i="1"/>
  <c r="AD208" i="1"/>
  <c r="AD226" i="1"/>
  <c r="AD227" i="1"/>
  <c r="AD231" i="1"/>
  <c r="AD240" i="1"/>
  <c r="AD241" i="1"/>
  <c r="AD253" i="1"/>
  <c r="AD261" i="1"/>
  <c r="AD268" i="1"/>
  <c r="AD308" i="1"/>
  <c r="AD334" i="1"/>
  <c r="AD359" i="1"/>
  <c r="AD380" i="1"/>
  <c r="AD411" i="1"/>
  <c r="AD431" i="1"/>
  <c r="AD432" i="1"/>
  <c r="AD450" i="1"/>
  <c r="AD468" i="1"/>
  <c r="AD481" i="1"/>
  <c r="AD497" i="1"/>
  <c r="AD498" i="1"/>
  <c r="AD523" i="1"/>
  <c r="AD132" i="1"/>
  <c r="AD254" i="1"/>
  <c r="AD265" i="1"/>
  <c r="AD269" i="1"/>
  <c r="AD279" i="1"/>
  <c r="AD293" i="1"/>
  <c r="AD297" i="1"/>
  <c r="AD327" i="1"/>
  <c r="AD369" i="1"/>
  <c r="AD371" i="1"/>
  <c r="AD387" i="1"/>
  <c r="AD404" i="1"/>
  <c r="AD405" i="1"/>
  <c r="AD419" i="1"/>
  <c r="AD486" i="1"/>
  <c r="AD489" i="1"/>
  <c r="AD519" i="1"/>
  <c r="AD531" i="1"/>
  <c r="AD133" i="1"/>
  <c r="AD144" i="1"/>
  <c r="AD160" i="1"/>
  <c r="AD193" i="1"/>
  <c r="AD218" i="1"/>
  <c r="AD237" i="1"/>
  <c r="AD275" i="1"/>
  <c r="AD302" i="1"/>
  <c r="AD317" i="1"/>
  <c r="AD344" i="1"/>
  <c r="AD370" i="1"/>
  <c r="AD388" i="1"/>
  <c r="AD420" i="1"/>
  <c r="AD442" i="1"/>
  <c r="AD476" i="1"/>
  <c r="AD490" i="1"/>
  <c r="AD516" i="1"/>
  <c r="AD533" i="1"/>
  <c r="AD134" i="1"/>
  <c r="AD180" i="1"/>
  <c r="AD187" i="1"/>
  <c r="AD303" i="1"/>
  <c r="AD345" i="1"/>
  <c r="AD389" i="1"/>
  <c r="AD458" i="1"/>
  <c r="AD487" i="1"/>
  <c r="AD517" i="1"/>
  <c r="AD140" i="1"/>
  <c r="AD161" i="1"/>
  <c r="AD188" i="1"/>
  <c r="AD209" i="1"/>
  <c r="AD284" i="1"/>
  <c r="AD309" i="1"/>
  <c r="AD336" i="1"/>
  <c r="AD360" i="1"/>
  <c r="AD398" i="1"/>
  <c r="AD433" i="1"/>
  <c r="AD482" i="1"/>
  <c r="AD499" i="1"/>
  <c r="AD524" i="1"/>
  <c r="AD127" i="1"/>
  <c r="AD148" i="1"/>
  <c r="AD167" i="1"/>
  <c r="AD197" i="1"/>
  <c r="AD232" i="1"/>
  <c r="AD242" i="1"/>
  <c r="AD285" i="1"/>
  <c r="AD306" i="1"/>
  <c r="AD361" i="1"/>
  <c r="AD381" i="1"/>
  <c r="AD425" i="1"/>
  <c r="AD469" i="1"/>
  <c r="AD510" i="1"/>
  <c r="AD141" i="1"/>
  <c r="AD149" i="1"/>
  <c r="AD171" i="1"/>
  <c r="AD189" i="1"/>
  <c r="AD243" i="1"/>
  <c r="AD286" i="1"/>
  <c r="AD298" i="1"/>
  <c r="AD346" i="1"/>
  <c r="AD399" i="1"/>
  <c r="AD412" i="1"/>
  <c r="AD434" i="1"/>
  <c r="AD459" i="1"/>
  <c r="AD470" i="1"/>
  <c r="AD491" i="1"/>
  <c r="AD500" i="1"/>
  <c r="AD501" i="1"/>
  <c r="AD145" i="1"/>
  <c r="AD157" i="1"/>
  <c r="AD158" i="1"/>
  <c r="AD165" i="1"/>
  <c r="AD166" i="1"/>
  <c r="AD181" i="1"/>
  <c r="AD196" i="1"/>
  <c r="AD210" i="1"/>
  <c r="AD229" i="1"/>
  <c r="AD244" i="1"/>
  <c r="AD249" i="1"/>
  <c r="AD295" i="1"/>
  <c r="AD305" i="1"/>
  <c r="AD347" i="1"/>
  <c r="AD352" i="1"/>
  <c r="AD362" i="1"/>
  <c r="AD375" i="1"/>
  <c r="AD408" i="1"/>
  <c r="AD422" i="1"/>
  <c r="AD435" i="1"/>
  <c r="AD445" i="1"/>
  <c r="AD478" i="1"/>
  <c r="AD495" i="1"/>
  <c r="AD509" i="1"/>
  <c r="AD530" i="1"/>
  <c r="AD172" i="1"/>
  <c r="AD198" i="1"/>
  <c r="AD211" i="1"/>
  <c r="AD270" i="1"/>
  <c r="AD255" i="1"/>
  <c r="AD382" i="1"/>
  <c r="AD451" i="1"/>
  <c r="AD182" i="1"/>
  <c r="AD202" i="1"/>
  <c r="AD277" i="1"/>
  <c r="AD259" i="1"/>
  <c r="AD329" i="1"/>
  <c r="AD337" i="1"/>
  <c r="AD372" i="1"/>
  <c r="AD383" i="1"/>
  <c r="AD391" i="1"/>
  <c r="AD436" i="1"/>
  <c r="AD444" i="1"/>
  <c r="AD464" i="1"/>
  <c r="AD507" i="1"/>
  <c r="AD183" i="1"/>
  <c r="AD204" i="1"/>
  <c r="AD220" i="1"/>
  <c r="AD280" i="1"/>
  <c r="AD164" i="1"/>
  <c r="AD203" i="1"/>
  <c r="AD287" i="1"/>
  <c r="AD354" i="1"/>
  <c r="AD376" i="1"/>
  <c r="AD421" i="1"/>
  <c r="AD461" i="1"/>
  <c r="AD502" i="1"/>
  <c r="AD520" i="1"/>
  <c r="AD162" i="1"/>
  <c r="AD194" i="1"/>
  <c r="AD219" i="1"/>
  <c r="AD276" i="1"/>
  <c r="AD304" i="1"/>
  <c r="AD318" i="1"/>
  <c r="AD348" i="1"/>
  <c r="AD373" i="1"/>
  <c r="AD406" i="1"/>
  <c r="AD437" i="1"/>
  <c r="AD477" i="1"/>
  <c r="AD492" i="1"/>
  <c r="AD518" i="1"/>
  <c r="AD173" i="1"/>
  <c r="AD271" i="1"/>
  <c r="AD310" i="1"/>
  <c r="AD323" i="1"/>
  <c r="AD363" i="1"/>
  <c r="AD384" i="1"/>
  <c r="AD413" i="1"/>
  <c r="AD471" i="1"/>
  <c r="AD493" i="1"/>
  <c r="AD525" i="1"/>
  <c r="AD163" i="1"/>
  <c r="AD174" i="1"/>
  <c r="AD195" i="1"/>
  <c r="AD212" i="1"/>
  <c r="AD233" i="1"/>
  <c r="AD258" i="1"/>
  <c r="AD272" i="1"/>
  <c r="AD311" i="1"/>
  <c r="AD319" i="1"/>
  <c r="AD324" i="1"/>
  <c r="AD364" i="1"/>
  <c r="AD400" i="1"/>
  <c r="AD414" i="1"/>
  <c r="AD438" i="1"/>
  <c r="AD452" i="1"/>
  <c r="AD472" i="1"/>
  <c r="AD494" i="1"/>
  <c r="AD511" i="1"/>
  <c r="AD532" i="1"/>
  <c r="AD150" i="1"/>
  <c r="AD213" i="1"/>
  <c r="AD245" i="1"/>
  <c r="AD312" i="1"/>
  <c r="AD325" i="1"/>
  <c r="AD415" i="1"/>
  <c r="AD473" i="1"/>
  <c r="AD512" i="1"/>
  <c r="AD128" i="1"/>
  <c r="AD154" i="1"/>
  <c r="AD175" i="1"/>
  <c r="AD199" i="1"/>
  <c r="AD238" i="1"/>
  <c r="AD246" i="1"/>
  <c r="AD273" i="1"/>
  <c r="AD288" i="1"/>
  <c r="AD313" i="1"/>
  <c r="AD338" i="1"/>
  <c r="AD365" i="1"/>
  <c r="AD401" i="1"/>
  <c r="AD426" i="1"/>
  <c r="AD453" i="1"/>
  <c r="AD483" i="1"/>
  <c r="AD503" i="1"/>
  <c r="AD526" i="1"/>
  <c r="AD142" i="1"/>
  <c r="AD176" i="1"/>
  <c r="AD200" i="1"/>
  <c r="AD234" i="1"/>
  <c r="AD289" i="1"/>
  <c r="AD320" i="1"/>
  <c r="AD339" i="1"/>
  <c r="AD366" i="1"/>
  <c r="AD427" i="1"/>
  <c r="AD454" i="1"/>
  <c r="AD484" i="1"/>
  <c r="AD504" i="1"/>
  <c r="AD527" i="1"/>
  <c r="AD184" i="1"/>
  <c r="AD205" i="1"/>
  <c r="AD221" i="1"/>
  <c r="AD281" i="1"/>
  <c r="AD260" i="1"/>
  <c r="AD328" i="1"/>
  <c r="AD330" i="1"/>
  <c r="AD349" i="1"/>
  <c r="AD350" i="1"/>
  <c r="AD351" i="1"/>
  <c r="AD353" i="1"/>
  <c r="AD377" i="1"/>
  <c r="AD390" i="1"/>
  <c r="AD392" i="1"/>
  <c r="AD393" i="1"/>
  <c r="AD443" i="1"/>
  <c r="AD446" i="1"/>
  <c r="AD462" i="1"/>
  <c r="AD466" i="1"/>
  <c r="AD508" i="1"/>
  <c r="AD129" i="1"/>
  <c r="AD135" i="1"/>
  <c r="AD177" i="1"/>
  <c r="AD190" i="1"/>
  <c r="AD214" i="1"/>
  <c r="AD235" i="1"/>
  <c r="AD290" i="1"/>
  <c r="AD314" i="1"/>
  <c r="AD340" i="1"/>
  <c r="AD385" i="1"/>
  <c r="AD428" i="1"/>
  <c r="AD455" i="1"/>
  <c r="AD505" i="1"/>
  <c r="AD256" i="1"/>
  <c r="AD262" i="1"/>
  <c r="AD130" i="1"/>
  <c r="AD143" i="1"/>
  <c r="AD151" i="1"/>
  <c r="AD178" i="1"/>
  <c r="AD191" i="1"/>
  <c r="AD215" i="1"/>
  <c r="AD247" i="1"/>
  <c r="AD299" i="1"/>
  <c r="AD315" i="1"/>
  <c r="AD341" i="1"/>
  <c r="AD367" i="1"/>
  <c r="AD386" i="1"/>
  <c r="AD402" i="1"/>
  <c r="AD439" i="1"/>
  <c r="AD474" i="1"/>
  <c r="AD485" i="1"/>
  <c r="AD506" i="1"/>
  <c r="AD513" i="1"/>
  <c r="AD528" i="1"/>
  <c r="AD342" i="1"/>
  <c r="AD514" i="1"/>
  <c r="AD131" i="1"/>
  <c r="AD152" i="1"/>
  <c r="AD192" i="1"/>
  <c r="AD217" i="1"/>
  <c r="AD236" i="1"/>
  <c r="AD248" i="1"/>
  <c r="AD291" i="1"/>
  <c r="AD343" i="1"/>
  <c r="AD403" i="1"/>
  <c r="AD440" i="1"/>
  <c r="AD475" i="1"/>
  <c r="AD515" i="1"/>
  <c r="AD179" i="1"/>
  <c r="AD300" i="1"/>
  <c r="AD456" i="1"/>
  <c r="AD201" i="1"/>
  <c r="AD292" i="1"/>
  <c r="AD326" i="1"/>
  <c r="AD529" i="1"/>
  <c r="AD429" i="1"/>
  <c r="AD457" i="1"/>
  <c r="AE146" i="1"/>
  <c r="AE301" i="1"/>
  <c r="AE368" i="1"/>
  <c r="AE416" i="1"/>
  <c r="AE441" i="1"/>
  <c r="AE394" i="1"/>
  <c r="AE155" i="1"/>
  <c r="AE417" i="1"/>
  <c r="AE460" i="1"/>
  <c r="AE407" i="1"/>
  <c r="AE156" i="1"/>
  <c r="AE418" i="1"/>
  <c r="AE463" i="1"/>
  <c r="AE379" i="1"/>
  <c r="AE147" i="1"/>
  <c r="AE409" i="1"/>
  <c r="AE447" i="1"/>
  <c r="AE136" i="1"/>
  <c r="AE222" i="1"/>
  <c r="AE266" i="1"/>
  <c r="AE307" i="1"/>
  <c r="AE357" i="1"/>
  <c r="AE395" i="1"/>
  <c r="AE448" i="1"/>
  <c r="AE521" i="1"/>
  <c r="AE251" i="1"/>
  <c r="AE374" i="1"/>
  <c r="AE465" i="1"/>
  <c r="AE125" i="1"/>
  <c r="AE126" i="1"/>
  <c r="AE137" i="1"/>
  <c r="AE138" i="1"/>
  <c r="AE168" i="1"/>
  <c r="AE169" i="1"/>
  <c r="AE186" i="1"/>
  <c r="AE185" i="1"/>
  <c r="AE206" i="1"/>
  <c r="AE225" i="1"/>
  <c r="AE252" i="1"/>
  <c r="AE267" i="1"/>
  <c r="AE282" i="1"/>
  <c r="AE321" i="1"/>
  <c r="AE332" i="1"/>
  <c r="AE333" i="1"/>
  <c r="AE396" i="1"/>
  <c r="AE423" i="1"/>
  <c r="AE424" i="1"/>
  <c r="AE467" i="1"/>
  <c r="AE479" i="1"/>
  <c r="AE496" i="1"/>
  <c r="AE283" i="1"/>
  <c r="AE397" i="1"/>
  <c r="AE430" i="1"/>
  <c r="AE480" i="1"/>
  <c r="AE296" i="1"/>
  <c r="AE322" i="1"/>
  <c r="AE358" i="1"/>
  <c r="AE410" i="1"/>
  <c r="AE449" i="1"/>
  <c r="AE139" i="1"/>
  <c r="AE170" i="1"/>
  <c r="AE208" i="1"/>
  <c r="AE226" i="1"/>
  <c r="AE227" i="1"/>
  <c r="AE231" i="1"/>
  <c r="AE240" i="1"/>
  <c r="AE241" i="1"/>
  <c r="AE253" i="1"/>
  <c r="AE261" i="1"/>
  <c r="AE268" i="1"/>
  <c r="AE308" i="1"/>
  <c r="AE334" i="1"/>
  <c r="AE359" i="1"/>
  <c r="AE380" i="1"/>
  <c r="AE411" i="1"/>
  <c r="AE431" i="1"/>
  <c r="AE432" i="1"/>
  <c r="AE450" i="1"/>
  <c r="AE468" i="1"/>
  <c r="AE481" i="1"/>
  <c r="AE497" i="1"/>
  <c r="AE498" i="1"/>
  <c r="AE523" i="1"/>
  <c r="AE132" i="1"/>
  <c r="AE254" i="1"/>
  <c r="AE265" i="1"/>
  <c r="AE269" i="1"/>
  <c r="AE279" i="1"/>
  <c r="AE293" i="1"/>
  <c r="AE297" i="1"/>
  <c r="AE327" i="1"/>
  <c r="AE369" i="1"/>
  <c r="AE371" i="1"/>
  <c r="AE387" i="1"/>
  <c r="AE404" i="1"/>
  <c r="AE405" i="1"/>
  <c r="AE419" i="1"/>
  <c r="AE486" i="1"/>
  <c r="AE489" i="1"/>
  <c r="AE519" i="1"/>
  <c r="AE531" i="1"/>
  <c r="AE133" i="1"/>
  <c r="AE144" i="1"/>
  <c r="AE160" i="1"/>
  <c r="AE193" i="1"/>
  <c r="AE218" i="1"/>
  <c r="AE237" i="1"/>
  <c r="AE275" i="1"/>
  <c r="AE302" i="1"/>
  <c r="AE317" i="1"/>
  <c r="AE344" i="1"/>
  <c r="AE370" i="1"/>
  <c r="AE388" i="1"/>
  <c r="AE420" i="1"/>
  <c r="AE442" i="1"/>
  <c r="AE476" i="1"/>
  <c r="AE490" i="1"/>
  <c r="AE516" i="1"/>
  <c r="AE533" i="1"/>
  <c r="AE134" i="1"/>
  <c r="AE180" i="1"/>
  <c r="AE187" i="1"/>
  <c r="AE303" i="1"/>
  <c r="AE345" i="1"/>
  <c r="AE389" i="1"/>
  <c r="AE458" i="1"/>
  <c r="AE487" i="1"/>
  <c r="AE517" i="1"/>
  <c r="AE140" i="1"/>
  <c r="AE161" i="1"/>
  <c r="AE188" i="1"/>
  <c r="AE209" i="1"/>
  <c r="AE284" i="1"/>
  <c r="AE309" i="1"/>
  <c r="AE336" i="1"/>
  <c r="AE360" i="1"/>
  <c r="AE398" i="1"/>
  <c r="AE433" i="1"/>
  <c r="AE482" i="1"/>
  <c r="AE499" i="1"/>
  <c r="AE524" i="1"/>
  <c r="AE127" i="1"/>
  <c r="AE148" i="1"/>
  <c r="AE167" i="1"/>
  <c r="AE197" i="1"/>
  <c r="AE232" i="1"/>
  <c r="AE242" i="1"/>
  <c r="AE285" i="1"/>
  <c r="AE306" i="1"/>
  <c r="AE361" i="1"/>
  <c r="AE381" i="1"/>
  <c r="AE425" i="1"/>
  <c r="AE469" i="1"/>
  <c r="AE510" i="1"/>
  <c r="AE141" i="1"/>
  <c r="AE149" i="1"/>
  <c r="AE171" i="1"/>
  <c r="AE189" i="1"/>
  <c r="AE243" i="1"/>
  <c r="AE286" i="1"/>
  <c r="AE298" i="1"/>
  <c r="AE346" i="1"/>
  <c r="AE399" i="1"/>
  <c r="AE412" i="1"/>
  <c r="AE434" i="1"/>
  <c r="AE459" i="1"/>
  <c r="AE470" i="1"/>
  <c r="AE491" i="1"/>
  <c r="AE500" i="1"/>
  <c r="AE501" i="1"/>
  <c r="AE145" i="1"/>
  <c r="AE157" i="1"/>
  <c r="AE158" i="1"/>
  <c r="AE165" i="1"/>
  <c r="AE166" i="1"/>
  <c r="AE181" i="1"/>
  <c r="AE196" i="1"/>
  <c r="AE210" i="1"/>
  <c r="AE229" i="1"/>
  <c r="AE244" i="1"/>
  <c r="AE249" i="1"/>
  <c r="AE295" i="1"/>
  <c r="AE305" i="1"/>
  <c r="AE347" i="1"/>
  <c r="AE352" i="1"/>
  <c r="AE362" i="1"/>
  <c r="AE375" i="1"/>
  <c r="AE408" i="1"/>
  <c r="AE422" i="1"/>
  <c r="AE435" i="1"/>
  <c r="AE445" i="1"/>
  <c r="AE478" i="1"/>
  <c r="AE495" i="1"/>
  <c r="AE509" i="1"/>
  <c r="AE530" i="1"/>
  <c r="AE172" i="1"/>
  <c r="AE198" i="1"/>
  <c r="AE211" i="1"/>
  <c r="AE270" i="1"/>
  <c r="AE255" i="1"/>
  <c r="AE382" i="1"/>
  <c r="AE451" i="1"/>
  <c r="AE182" i="1"/>
  <c r="AE202" i="1"/>
  <c r="AE277" i="1"/>
  <c r="AE259" i="1"/>
  <c r="AE329" i="1"/>
  <c r="AE337" i="1"/>
  <c r="AE372" i="1"/>
  <c r="AE383" i="1"/>
  <c r="AE391" i="1"/>
  <c r="AE436" i="1"/>
  <c r="AE444" i="1"/>
  <c r="AE464" i="1"/>
  <c r="AE507" i="1"/>
  <c r="AE183" i="1"/>
  <c r="AE204" i="1"/>
  <c r="AE220" i="1"/>
  <c r="AE280" i="1"/>
  <c r="AE164" i="1"/>
  <c r="AE203" i="1"/>
  <c r="AE287" i="1"/>
  <c r="AE354" i="1"/>
  <c r="AE376" i="1"/>
  <c r="AE421" i="1"/>
  <c r="AE461" i="1"/>
  <c r="AE502" i="1"/>
  <c r="AE520" i="1"/>
  <c r="AE162" i="1"/>
  <c r="AE194" i="1"/>
  <c r="AE219" i="1"/>
  <c r="AE276" i="1"/>
  <c r="AE304" i="1"/>
  <c r="AE318" i="1"/>
  <c r="AE348" i="1"/>
  <c r="AE373" i="1"/>
  <c r="AE406" i="1"/>
  <c r="AE437" i="1"/>
  <c r="AE477" i="1"/>
  <c r="AE492" i="1"/>
  <c r="AE518" i="1"/>
  <c r="AE173" i="1"/>
  <c r="AE271" i="1"/>
  <c r="AE310" i="1"/>
  <c r="AE323" i="1"/>
  <c r="AE363" i="1"/>
  <c r="AE384" i="1"/>
  <c r="AE413" i="1"/>
  <c r="AE471" i="1"/>
  <c r="AE493" i="1"/>
  <c r="AE525" i="1"/>
  <c r="AE163" i="1"/>
  <c r="AE174" i="1"/>
  <c r="AE195" i="1"/>
  <c r="AE212" i="1"/>
  <c r="AE233" i="1"/>
  <c r="AE258" i="1"/>
  <c r="AE272" i="1"/>
  <c r="AE311" i="1"/>
  <c r="AE319" i="1"/>
  <c r="AE324" i="1"/>
  <c r="AE364" i="1"/>
  <c r="AE400" i="1"/>
  <c r="AE414" i="1"/>
  <c r="AE438" i="1"/>
  <c r="AE452" i="1"/>
  <c r="AE472" i="1"/>
  <c r="AE494" i="1"/>
  <c r="AE511" i="1"/>
  <c r="AE532" i="1"/>
  <c r="AE150" i="1"/>
  <c r="AE213" i="1"/>
  <c r="AE245" i="1"/>
  <c r="AE312" i="1"/>
  <c r="AE325" i="1"/>
  <c r="AE415" i="1"/>
  <c r="AE473" i="1"/>
  <c r="AE512" i="1"/>
  <c r="AE128" i="1"/>
  <c r="AE154" i="1"/>
  <c r="AE175" i="1"/>
  <c r="AE199" i="1"/>
  <c r="AE238" i="1"/>
  <c r="AE246" i="1"/>
  <c r="AE273" i="1"/>
  <c r="AE288" i="1"/>
  <c r="AE313" i="1"/>
  <c r="AE338" i="1"/>
  <c r="AE365" i="1"/>
  <c r="AE401" i="1"/>
  <c r="AE426" i="1"/>
  <c r="AE453" i="1"/>
  <c r="AE483" i="1"/>
  <c r="AE503" i="1"/>
  <c r="AE526" i="1"/>
  <c r="AE142" i="1"/>
  <c r="AE176" i="1"/>
  <c r="AE200" i="1"/>
  <c r="AE234" i="1"/>
  <c r="AE289" i="1"/>
  <c r="AE320" i="1"/>
  <c r="AE339" i="1"/>
  <c r="AE366" i="1"/>
  <c r="AE427" i="1"/>
  <c r="AE454" i="1"/>
  <c r="AE484" i="1"/>
  <c r="AE504" i="1"/>
  <c r="AE527" i="1"/>
  <c r="AE184" i="1"/>
  <c r="AE205" i="1"/>
  <c r="AE221" i="1"/>
  <c r="AE281" i="1"/>
  <c r="AE260" i="1"/>
  <c r="AE328" i="1"/>
  <c r="AE330" i="1"/>
  <c r="AE349" i="1"/>
  <c r="AE350" i="1"/>
  <c r="AE351" i="1"/>
  <c r="AE353" i="1"/>
  <c r="AE377" i="1"/>
  <c r="AE390" i="1"/>
  <c r="AE392" i="1"/>
  <c r="AE393" i="1"/>
  <c r="AE443" i="1"/>
  <c r="AE446" i="1"/>
  <c r="AE462" i="1"/>
  <c r="AE466" i="1"/>
  <c r="AE508" i="1"/>
  <c r="AE129" i="1"/>
  <c r="AE135" i="1"/>
  <c r="AE177" i="1"/>
  <c r="AE190" i="1"/>
  <c r="AE214" i="1"/>
  <c r="AE235" i="1"/>
  <c r="AE290" i="1"/>
  <c r="AE314" i="1"/>
  <c r="AE340" i="1"/>
  <c r="AE385" i="1"/>
  <c r="AE428" i="1"/>
  <c r="AE455" i="1"/>
  <c r="AE505" i="1"/>
  <c r="AE256" i="1"/>
  <c r="AE262" i="1"/>
  <c r="AE130" i="1"/>
  <c r="AE143" i="1"/>
  <c r="AE151" i="1"/>
  <c r="AE178" i="1"/>
  <c r="AE191" i="1"/>
  <c r="AE215" i="1"/>
  <c r="AE247" i="1"/>
  <c r="AE299" i="1"/>
  <c r="AE315" i="1"/>
  <c r="AE341" i="1"/>
  <c r="AE367" i="1"/>
  <c r="AE386" i="1"/>
  <c r="AE402" i="1"/>
  <c r="AE439" i="1"/>
  <c r="AE474" i="1"/>
  <c r="AE485" i="1"/>
  <c r="AE506" i="1"/>
  <c r="AE513" i="1"/>
  <c r="AE528" i="1"/>
  <c r="AE342" i="1"/>
  <c r="AE514" i="1"/>
  <c r="AE131" i="1"/>
  <c r="AE152" i="1"/>
  <c r="AE192" i="1"/>
  <c r="AE217" i="1"/>
  <c r="AE236" i="1"/>
  <c r="AE248" i="1"/>
  <c r="AE291" i="1"/>
  <c r="AE343" i="1"/>
  <c r="AE403" i="1"/>
  <c r="AE440" i="1"/>
  <c r="AE475" i="1"/>
  <c r="AE515" i="1"/>
  <c r="AE179" i="1"/>
  <c r="AE300" i="1"/>
  <c r="AE456" i="1"/>
  <c r="AE201" i="1"/>
  <c r="AE292" i="1"/>
  <c r="AE326" i="1"/>
  <c r="AE529" i="1"/>
  <c r="AE429" i="1"/>
  <c r="AE457" i="1"/>
  <c r="AF146" i="1"/>
  <c r="AF301" i="1"/>
  <c r="AF368" i="1"/>
  <c r="AF416" i="1"/>
  <c r="AF441" i="1"/>
  <c r="AF394" i="1"/>
  <c r="AF155" i="1"/>
  <c r="AF417" i="1"/>
  <c r="AF460" i="1"/>
  <c r="AF407" i="1"/>
  <c r="AF156" i="1"/>
  <c r="AF418" i="1"/>
  <c r="AF463" i="1"/>
  <c r="AF379" i="1"/>
  <c r="AF147" i="1"/>
  <c r="AF409" i="1"/>
  <c r="AF447" i="1"/>
  <c r="AF136" i="1"/>
  <c r="AF222" i="1"/>
  <c r="AF266" i="1"/>
  <c r="AF307" i="1"/>
  <c r="AF357" i="1"/>
  <c r="AF395" i="1"/>
  <c r="AF448" i="1"/>
  <c r="AF521" i="1"/>
  <c r="AF251" i="1"/>
  <c r="AF374" i="1"/>
  <c r="AF465" i="1"/>
  <c r="AF125" i="1"/>
  <c r="AF126" i="1"/>
  <c r="AF137" i="1"/>
  <c r="AF138" i="1"/>
  <c r="AF168" i="1"/>
  <c r="AF169" i="1"/>
  <c r="AF186" i="1"/>
  <c r="AF185" i="1"/>
  <c r="AF206" i="1"/>
  <c r="AF225" i="1"/>
  <c r="AF252" i="1"/>
  <c r="AF267" i="1"/>
  <c r="AF282" i="1"/>
  <c r="AF321" i="1"/>
  <c r="AF332" i="1"/>
  <c r="AF333" i="1"/>
  <c r="AF396" i="1"/>
  <c r="AF423" i="1"/>
  <c r="AF424" i="1"/>
  <c r="AF467" i="1"/>
  <c r="AF479" i="1"/>
  <c r="AF496" i="1"/>
  <c r="AF283" i="1"/>
  <c r="AF397" i="1"/>
  <c r="AF430" i="1"/>
  <c r="AF480" i="1"/>
  <c r="AF296" i="1"/>
  <c r="AF322" i="1"/>
  <c r="AF358" i="1"/>
  <c r="AF410" i="1"/>
  <c r="AF449" i="1"/>
  <c r="AF139" i="1"/>
  <c r="AF170" i="1"/>
  <c r="AF208" i="1"/>
  <c r="AF226" i="1"/>
  <c r="AF227" i="1"/>
  <c r="AF231" i="1"/>
  <c r="AF240" i="1"/>
  <c r="AF241" i="1"/>
  <c r="AF253" i="1"/>
  <c r="AF261" i="1"/>
  <c r="AF268" i="1"/>
  <c r="AF308" i="1"/>
  <c r="AF334" i="1"/>
  <c r="AF359" i="1"/>
  <c r="AF380" i="1"/>
  <c r="AF411" i="1"/>
  <c r="AF431" i="1"/>
  <c r="AF432" i="1"/>
  <c r="AF450" i="1"/>
  <c r="AF468" i="1"/>
  <c r="AF481" i="1"/>
  <c r="AF497" i="1"/>
  <c r="AF498" i="1"/>
  <c r="AF523" i="1"/>
  <c r="AF132" i="1"/>
  <c r="AF254" i="1"/>
  <c r="AF265" i="1"/>
  <c r="AF269" i="1"/>
  <c r="AF279" i="1"/>
  <c r="AF293" i="1"/>
  <c r="AF297" i="1"/>
  <c r="AF327" i="1"/>
  <c r="AF369" i="1"/>
  <c r="AF371" i="1"/>
  <c r="AF387" i="1"/>
  <c r="AF404" i="1"/>
  <c r="AF405" i="1"/>
  <c r="AF419" i="1"/>
  <c r="AF486" i="1"/>
  <c r="AF489" i="1"/>
  <c r="AF519" i="1"/>
  <c r="AF531" i="1"/>
  <c r="AF133" i="1"/>
  <c r="AF144" i="1"/>
  <c r="AF160" i="1"/>
  <c r="AF193" i="1"/>
  <c r="AF218" i="1"/>
  <c r="AF237" i="1"/>
  <c r="AF275" i="1"/>
  <c r="AF302" i="1"/>
  <c r="AF317" i="1"/>
  <c r="AF344" i="1"/>
  <c r="AF370" i="1"/>
  <c r="AF388" i="1"/>
  <c r="AF420" i="1"/>
  <c r="AF442" i="1"/>
  <c r="AF476" i="1"/>
  <c r="AF490" i="1"/>
  <c r="AF516" i="1"/>
  <c r="AF533" i="1"/>
  <c r="AF134" i="1"/>
  <c r="AF180" i="1"/>
  <c r="AF187" i="1"/>
  <c r="AF303" i="1"/>
  <c r="AF345" i="1"/>
  <c r="AF389" i="1"/>
  <c r="AF458" i="1"/>
  <c r="AF487" i="1"/>
  <c r="AF517" i="1"/>
  <c r="AF140" i="1"/>
  <c r="AF161" i="1"/>
  <c r="AF188" i="1"/>
  <c r="AF209" i="1"/>
  <c r="AF284" i="1"/>
  <c r="AF309" i="1"/>
  <c r="AF336" i="1"/>
  <c r="AF360" i="1"/>
  <c r="AF398" i="1"/>
  <c r="AF433" i="1"/>
  <c r="AF482" i="1"/>
  <c r="AF499" i="1"/>
  <c r="AF524" i="1"/>
  <c r="AF127" i="1"/>
  <c r="AF148" i="1"/>
  <c r="AF167" i="1"/>
  <c r="AF197" i="1"/>
  <c r="AF232" i="1"/>
  <c r="AF242" i="1"/>
  <c r="AF285" i="1"/>
  <c r="AF306" i="1"/>
  <c r="AF361" i="1"/>
  <c r="AF381" i="1"/>
  <c r="AF425" i="1"/>
  <c r="AF469" i="1"/>
  <c r="AF510" i="1"/>
  <c r="AF141" i="1"/>
  <c r="AF149" i="1"/>
  <c r="AF171" i="1"/>
  <c r="AF189" i="1"/>
  <c r="AF243" i="1"/>
  <c r="AF286" i="1"/>
  <c r="AF298" i="1"/>
  <c r="AF346" i="1"/>
  <c r="AF399" i="1"/>
  <c r="AF412" i="1"/>
  <c r="AF434" i="1"/>
  <c r="AF459" i="1"/>
  <c r="AF470" i="1"/>
  <c r="AF491" i="1"/>
  <c r="AF500" i="1"/>
  <c r="AF501" i="1"/>
  <c r="AF145" i="1"/>
  <c r="AF157" i="1"/>
  <c r="AF158" i="1"/>
  <c r="AF165" i="1"/>
  <c r="AF166" i="1"/>
  <c r="AF181" i="1"/>
  <c r="AF196" i="1"/>
  <c r="AF210" i="1"/>
  <c r="AF229" i="1"/>
  <c r="AF244" i="1"/>
  <c r="AF249" i="1"/>
  <c r="AF295" i="1"/>
  <c r="AF305" i="1"/>
  <c r="AF347" i="1"/>
  <c r="AF352" i="1"/>
  <c r="AF362" i="1"/>
  <c r="AF375" i="1"/>
  <c r="AF408" i="1"/>
  <c r="AF422" i="1"/>
  <c r="AF435" i="1"/>
  <c r="AF445" i="1"/>
  <c r="AF478" i="1"/>
  <c r="AF495" i="1"/>
  <c r="AF509" i="1"/>
  <c r="AF530" i="1"/>
  <c r="AF172" i="1"/>
  <c r="AF198" i="1"/>
  <c r="AF211" i="1"/>
  <c r="AF270" i="1"/>
  <c r="AF255" i="1"/>
  <c r="AF382" i="1"/>
  <c r="AF451" i="1"/>
  <c r="AF182" i="1"/>
  <c r="AF202" i="1"/>
  <c r="AF277" i="1"/>
  <c r="AF259" i="1"/>
  <c r="AF329" i="1"/>
  <c r="AF337" i="1"/>
  <c r="AF372" i="1"/>
  <c r="AF383" i="1"/>
  <c r="AF391" i="1"/>
  <c r="AF436" i="1"/>
  <c r="AF444" i="1"/>
  <c r="AF464" i="1"/>
  <c r="AF507" i="1"/>
  <c r="AF183" i="1"/>
  <c r="AF204" i="1"/>
  <c r="AF220" i="1"/>
  <c r="AF280" i="1"/>
  <c r="AF164" i="1"/>
  <c r="AF203" i="1"/>
  <c r="AF287" i="1"/>
  <c r="AF354" i="1"/>
  <c r="AF376" i="1"/>
  <c r="AF421" i="1"/>
  <c r="AF461" i="1"/>
  <c r="AF502" i="1"/>
  <c r="AF520" i="1"/>
  <c r="AF162" i="1"/>
  <c r="AF194" i="1"/>
  <c r="AF219" i="1"/>
  <c r="AF276" i="1"/>
  <c r="AF304" i="1"/>
  <c r="AF318" i="1"/>
  <c r="AF348" i="1"/>
  <c r="AF373" i="1"/>
  <c r="AF406" i="1"/>
  <c r="AF437" i="1"/>
  <c r="AF477" i="1"/>
  <c r="AF492" i="1"/>
  <c r="AF518" i="1"/>
  <c r="AF173" i="1"/>
  <c r="AF271" i="1"/>
  <c r="AF310" i="1"/>
  <c r="AF323" i="1"/>
  <c r="AF363" i="1"/>
  <c r="AF384" i="1"/>
  <c r="AF413" i="1"/>
  <c r="AF471" i="1"/>
  <c r="AF493" i="1"/>
  <c r="AF525" i="1"/>
  <c r="AF163" i="1"/>
  <c r="AF174" i="1"/>
  <c r="AF195" i="1"/>
  <c r="AF212" i="1"/>
  <c r="AF233" i="1"/>
  <c r="AF258" i="1"/>
  <c r="AF272" i="1"/>
  <c r="AF311" i="1"/>
  <c r="AF319" i="1"/>
  <c r="AF324" i="1"/>
  <c r="AF364" i="1"/>
  <c r="AF400" i="1"/>
  <c r="AF414" i="1"/>
  <c r="AF438" i="1"/>
  <c r="AF452" i="1"/>
  <c r="AF472" i="1"/>
  <c r="AF494" i="1"/>
  <c r="AF511" i="1"/>
  <c r="AF532" i="1"/>
  <c r="AF150" i="1"/>
  <c r="AF213" i="1"/>
  <c r="AF245" i="1"/>
  <c r="AF312" i="1"/>
  <c r="AF325" i="1"/>
  <c r="AF415" i="1"/>
  <c r="AF473" i="1"/>
  <c r="AF512" i="1"/>
  <c r="AF128" i="1"/>
  <c r="AF154" i="1"/>
  <c r="AF175" i="1"/>
  <c r="AF199" i="1"/>
  <c r="AF238" i="1"/>
  <c r="AF246" i="1"/>
  <c r="AF273" i="1"/>
  <c r="AF288" i="1"/>
  <c r="AF313" i="1"/>
  <c r="AF338" i="1"/>
  <c r="AF365" i="1"/>
  <c r="AF401" i="1"/>
  <c r="AF426" i="1"/>
  <c r="AF453" i="1"/>
  <c r="AF483" i="1"/>
  <c r="AF503" i="1"/>
  <c r="AF526" i="1"/>
  <c r="AF142" i="1"/>
  <c r="AF176" i="1"/>
  <c r="AF200" i="1"/>
  <c r="AF234" i="1"/>
  <c r="AF289" i="1"/>
  <c r="AF320" i="1"/>
  <c r="AF339" i="1"/>
  <c r="AF366" i="1"/>
  <c r="AF427" i="1"/>
  <c r="AF454" i="1"/>
  <c r="AF484" i="1"/>
  <c r="AF504" i="1"/>
  <c r="AF527" i="1"/>
  <c r="AF184" i="1"/>
  <c r="AF205" i="1"/>
  <c r="AF221" i="1"/>
  <c r="AF281" i="1"/>
  <c r="AF260" i="1"/>
  <c r="AF328" i="1"/>
  <c r="AF330" i="1"/>
  <c r="AF349" i="1"/>
  <c r="AF350" i="1"/>
  <c r="AF351" i="1"/>
  <c r="AF353" i="1"/>
  <c r="AF377" i="1"/>
  <c r="AF390" i="1"/>
  <c r="AF392" i="1"/>
  <c r="AF393" i="1"/>
  <c r="AF443" i="1"/>
  <c r="AF446" i="1"/>
  <c r="AF462" i="1"/>
  <c r="AF466" i="1"/>
  <c r="AF508" i="1"/>
  <c r="AF129" i="1"/>
  <c r="AF135" i="1"/>
  <c r="AF177" i="1"/>
  <c r="AF190" i="1"/>
  <c r="AF214" i="1"/>
  <c r="AF235" i="1"/>
  <c r="AF290" i="1"/>
  <c r="AF314" i="1"/>
  <c r="AF340" i="1"/>
  <c r="AF385" i="1"/>
  <c r="AF428" i="1"/>
  <c r="AF455" i="1"/>
  <c r="AF505" i="1"/>
  <c r="AF256" i="1"/>
  <c r="AF262" i="1"/>
  <c r="AF130" i="1"/>
  <c r="AF143" i="1"/>
  <c r="AF151" i="1"/>
  <c r="AF178" i="1"/>
  <c r="AF191" i="1"/>
  <c r="AF215" i="1"/>
  <c r="AF247" i="1"/>
  <c r="AF299" i="1"/>
  <c r="AF315" i="1"/>
  <c r="AF341" i="1"/>
  <c r="AF367" i="1"/>
  <c r="AF386" i="1"/>
  <c r="AF402" i="1"/>
  <c r="AF439" i="1"/>
  <c r="AF474" i="1"/>
  <c r="AF485" i="1"/>
  <c r="AF506" i="1"/>
  <c r="AF513" i="1"/>
  <c r="AF528" i="1"/>
  <c r="AF342" i="1"/>
  <c r="AF514" i="1"/>
  <c r="AF131" i="1"/>
  <c r="AF152" i="1"/>
  <c r="AF192" i="1"/>
  <c r="AF217" i="1"/>
  <c r="AF236" i="1"/>
  <c r="AF248" i="1"/>
  <c r="AF291" i="1"/>
  <c r="AF343" i="1"/>
  <c r="AF403" i="1"/>
  <c r="AF440" i="1"/>
  <c r="AF475" i="1"/>
  <c r="AF515" i="1"/>
  <c r="AF179" i="1"/>
  <c r="AF300" i="1"/>
  <c r="AF456" i="1"/>
  <c r="AF201" i="1"/>
  <c r="AF292" i="1"/>
  <c r="AF326" i="1"/>
  <c r="AF529" i="1"/>
  <c r="AF429" i="1"/>
  <c r="AF457" i="1"/>
  <c r="AG146" i="1"/>
  <c r="AG301" i="1"/>
  <c r="AG368" i="1"/>
  <c r="AG416" i="1"/>
  <c r="AG441" i="1"/>
  <c r="AG394" i="1"/>
  <c r="AG155" i="1"/>
  <c r="AG417" i="1"/>
  <c r="AG460" i="1"/>
  <c r="AG407" i="1"/>
  <c r="AG156" i="1"/>
  <c r="AG418" i="1"/>
  <c r="AG463" i="1"/>
  <c r="AG379" i="1"/>
  <c r="AG147" i="1"/>
  <c r="AG409" i="1"/>
  <c r="AG447" i="1"/>
  <c r="AG136" i="1"/>
  <c r="AG222" i="1"/>
  <c r="AG266" i="1"/>
  <c r="AG307" i="1"/>
  <c r="AG357" i="1"/>
  <c r="AG395" i="1"/>
  <c r="AG448" i="1"/>
  <c r="AG521" i="1"/>
  <c r="AG251" i="1"/>
  <c r="AG374" i="1"/>
  <c r="AG465" i="1"/>
  <c r="AG125" i="1"/>
  <c r="AG126" i="1"/>
  <c r="AG137" i="1"/>
  <c r="AG138" i="1"/>
  <c r="AG168" i="1"/>
  <c r="AG169" i="1"/>
  <c r="AG186" i="1"/>
  <c r="AG185" i="1"/>
  <c r="AG206" i="1"/>
  <c r="AG225" i="1"/>
  <c r="AG252" i="1"/>
  <c r="AG267" i="1"/>
  <c r="AG282" i="1"/>
  <c r="AG321" i="1"/>
  <c r="AG332" i="1"/>
  <c r="AG333" i="1"/>
  <c r="AG396" i="1"/>
  <c r="AG423" i="1"/>
  <c r="AG424" i="1"/>
  <c r="AG467" i="1"/>
  <c r="AG479" i="1"/>
  <c r="AG496" i="1"/>
  <c r="AG283" i="1"/>
  <c r="AG397" i="1"/>
  <c r="AG430" i="1"/>
  <c r="AG480" i="1"/>
  <c r="AG296" i="1"/>
  <c r="AG322" i="1"/>
  <c r="AG358" i="1"/>
  <c r="AG410" i="1"/>
  <c r="AG449" i="1"/>
  <c r="AG139" i="1"/>
  <c r="AG170" i="1"/>
  <c r="AG208" i="1"/>
  <c r="AG226" i="1"/>
  <c r="AG227" i="1"/>
  <c r="AG231" i="1"/>
  <c r="AG240" i="1"/>
  <c r="AG241" i="1"/>
  <c r="AG253" i="1"/>
  <c r="AG261" i="1"/>
  <c r="AG268" i="1"/>
  <c r="AG308" i="1"/>
  <c r="AG334" i="1"/>
  <c r="AG359" i="1"/>
  <c r="AG380" i="1"/>
  <c r="AG411" i="1"/>
  <c r="AG431" i="1"/>
  <c r="AG432" i="1"/>
  <c r="AG450" i="1"/>
  <c r="AG468" i="1"/>
  <c r="AG481" i="1"/>
  <c r="AG497" i="1"/>
  <c r="AG498" i="1"/>
  <c r="AG523" i="1"/>
  <c r="AG132" i="1"/>
  <c r="AG254" i="1"/>
  <c r="AG265" i="1"/>
  <c r="AG269" i="1"/>
  <c r="AG279" i="1"/>
  <c r="AG293" i="1"/>
  <c r="AG297" i="1"/>
  <c r="AG327" i="1"/>
  <c r="AG369" i="1"/>
  <c r="AG371" i="1"/>
  <c r="AG387" i="1"/>
  <c r="AG404" i="1"/>
  <c r="AG405" i="1"/>
  <c r="AG419" i="1"/>
  <c r="AG486" i="1"/>
  <c r="AG489" i="1"/>
  <c r="AG519" i="1"/>
  <c r="AG531" i="1"/>
  <c r="AG133" i="1"/>
  <c r="AG144" i="1"/>
  <c r="AG160" i="1"/>
  <c r="AG193" i="1"/>
  <c r="AG218" i="1"/>
  <c r="AG237" i="1"/>
  <c r="AG275" i="1"/>
  <c r="AG302" i="1"/>
  <c r="AG317" i="1"/>
  <c r="AG344" i="1"/>
  <c r="AG370" i="1"/>
  <c r="AG388" i="1"/>
  <c r="AG420" i="1"/>
  <c r="AG442" i="1"/>
  <c r="AG476" i="1"/>
  <c r="AG490" i="1"/>
  <c r="AG516" i="1"/>
  <c r="AG533" i="1"/>
  <c r="AG134" i="1"/>
  <c r="AG180" i="1"/>
  <c r="AG187" i="1"/>
  <c r="AG303" i="1"/>
  <c r="AG345" i="1"/>
  <c r="AG389" i="1"/>
  <c r="AG458" i="1"/>
  <c r="AG487" i="1"/>
  <c r="AG517" i="1"/>
  <c r="AG140" i="1"/>
  <c r="AG161" i="1"/>
  <c r="AG188" i="1"/>
  <c r="AG209" i="1"/>
  <c r="AG284" i="1"/>
  <c r="AG309" i="1"/>
  <c r="AG336" i="1"/>
  <c r="AG360" i="1"/>
  <c r="AG398" i="1"/>
  <c r="AG433" i="1"/>
  <c r="AG482" i="1"/>
  <c r="AG499" i="1"/>
  <c r="AG524" i="1"/>
  <c r="AG127" i="1"/>
  <c r="AG148" i="1"/>
  <c r="AG167" i="1"/>
  <c r="AG197" i="1"/>
  <c r="AG232" i="1"/>
  <c r="AG242" i="1"/>
  <c r="AG285" i="1"/>
  <c r="AG306" i="1"/>
  <c r="AG361" i="1"/>
  <c r="AG381" i="1"/>
  <c r="AG425" i="1"/>
  <c r="AG469" i="1"/>
  <c r="AG510" i="1"/>
  <c r="AG141" i="1"/>
  <c r="AG149" i="1"/>
  <c r="AG171" i="1"/>
  <c r="AG189" i="1"/>
  <c r="AG243" i="1"/>
  <c r="AG286" i="1"/>
  <c r="AG298" i="1"/>
  <c r="AG346" i="1"/>
  <c r="AG399" i="1"/>
  <c r="AG412" i="1"/>
  <c r="AG434" i="1"/>
  <c r="AG459" i="1"/>
  <c r="AG470" i="1"/>
  <c r="AG491" i="1"/>
  <c r="AG500" i="1"/>
  <c r="AG501" i="1"/>
  <c r="AG145" i="1"/>
  <c r="AG157" i="1"/>
  <c r="AG158" i="1"/>
  <c r="AG165" i="1"/>
  <c r="AG166" i="1"/>
  <c r="AG181" i="1"/>
  <c r="AG196" i="1"/>
  <c r="AG210" i="1"/>
  <c r="AG229" i="1"/>
  <c r="AG244" i="1"/>
  <c r="AG249" i="1"/>
  <c r="AG295" i="1"/>
  <c r="AG305" i="1"/>
  <c r="AG347" i="1"/>
  <c r="AG352" i="1"/>
  <c r="AG362" i="1"/>
  <c r="AG375" i="1"/>
  <c r="AG408" i="1"/>
  <c r="AG422" i="1"/>
  <c r="AG435" i="1"/>
  <c r="AG445" i="1"/>
  <c r="AG478" i="1"/>
  <c r="AG495" i="1"/>
  <c r="AG509" i="1"/>
  <c r="AG530" i="1"/>
  <c r="AG172" i="1"/>
  <c r="AG198" i="1"/>
  <c r="AG211" i="1"/>
  <c r="AG270" i="1"/>
  <c r="AG255" i="1"/>
  <c r="AG382" i="1"/>
  <c r="AG451" i="1"/>
  <c r="AG182" i="1"/>
  <c r="AG202" i="1"/>
  <c r="AG277" i="1"/>
  <c r="AG259" i="1"/>
  <c r="AG329" i="1"/>
  <c r="AG337" i="1"/>
  <c r="AG372" i="1"/>
  <c r="AG383" i="1"/>
  <c r="AG391" i="1"/>
  <c r="AG436" i="1"/>
  <c r="AG444" i="1"/>
  <c r="AG464" i="1"/>
  <c r="AG507" i="1"/>
  <c r="AG183" i="1"/>
  <c r="AG204" i="1"/>
  <c r="AG220" i="1"/>
  <c r="AG280" i="1"/>
  <c r="AG164" i="1"/>
  <c r="AG203" i="1"/>
  <c r="AG287" i="1"/>
  <c r="AG354" i="1"/>
  <c r="AG376" i="1"/>
  <c r="AG421" i="1"/>
  <c r="AG461" i="1"/>
  <c r="AG502" i="1"/>
  <c r="AG520" i="1"/>
  <c r="AG162" i="1"/>
  <c r="AG194" i="1"/>
  <c r="AG219" i="1"/>
  <c r="AG276" i="1"/>
  <c r="AG304" i="1"/>
  <c r="AG318" i="1"/>
  <c r="AG348" i="1"/>
  <c r="AG373" i="1"/>
  <c r="AG406" i="1"/>
  <c r="AG437" i="1"/>
  <c r="AG477" i="1"/>
  <c r="AG492" i="1"/>
  <c r="AG518" i="1"/>
  <c r="AG173" i="1"/>
  <c r="AG271" i="1"/>
  <c r="AG310" i="1"/>
  <c r="AG323" i="1"/>
  <c r="AG363" i="1"/>
  <c r="AG384" i="1"/>
  <c r="AG413" i="1"/>
  <c r="AG471" i="1"/>
  <c r="AG493" i="1"/>
  <c r="AG525" i="1"/>
  <c r="AG163" i="1"/>
  <c r="AG174" i="1"/>
  <c r="AG195" i="1"/>
  <c r="AG212" i="1"/>
  <c r="AG233" i="1"/>
  <c r="AG258" i="1"/>
  <c r="AG272" i="1"/>
  <c r="AG311" i="1"/>
  <c r="AG319" i="1"/>
  <c r="AG324" i="1"/>
  <c r="AG364" i="1"/>
  <c r="AG400" i="1"/>
  <c r="AG414" i="1"/>
  <c r="AG438" i="1"/>
  <c r="AG452" i="1"/>
  <c r="AG472" i="1"/>
  <c r="AG494" i="1"/>
  <c r="AG511" i="1"/>
  <c r="AG532" i="1"/>
  <c r="AG150" i="1"/>
  <c r="AG213" i="1"/>
  <c r="AG245" i="1"/>
  <c r="AG312" i="1"/>
  <c r="AG325" i="1"/>
  <c r="AG415" i="1"/>
  <c r="AG473" i="1"/>
  <c r="AG512" i="1"/>
  <c r="AG128" i="1"/>
  <c r="AG154" i="1"/>
  <c r="AG175" i="1"/>
  <c r="AG199" i="1"/>
  <c r="AG238" i="1"/>
  <c r="AG246" i="1"/>
  <c r="AG273" i="1"/>
  <c r="AG288" i="1"/>
  <c r="AG313" i="1"/>
  <c r="AG338" i="1"/>
  <c r="AG365" i="1"/>
  <c r="AG401" i="1"/>
  <c r="AG426" i="1"/>
  <c r="AG453" i="1"/>
  <c r="AG483" i="1"/>
  <c r="AG503" i="1"/>
  <c r="AG526" i="1"/>
  <c r="AG142" i="1"/>
  <c r="AG176" i="1"/>
  <c r="AG200" i="1"/>
  <c r="AG234" i="1"/>
  <c r="AG289" i="1"/>
  <c r="AG320" i="1"/>
  <c r="AG339" i="1"/>
  <c r="AG366" i="1"/>
  <c r="AG427" i="1"/>
  <c r="AG454" i="1"/>
  <c r="AG484" i="1"/>
  <c r="AG504" i="1"/>
  <c r="AG527" i="1"/>
  <c r="AG184" i="1"/>
  <c r="AG205" i="1"/>
  <c r="AG221" i="1"/>
  <c r="AG281" i="1"/>
  <c r="AG260" i="1"/>
  <c r="AG328" i="1"/>
  <c r="AG330" i="1"/>
  <c r="AG349" i="1"/>
  <c r="AG350" i="1"/>
  <c r="AG351" i="1"/>
  <c r="AG353" i="1"/>
  <c r="AG377" i="1"/>
  <c r="AG390" i="1"/>
  <c r="AG392" i="1"/>
  <c r="AG393" i="1"/>
  <c r="AG443" i="1"/>
  <c r="AG446" i="1"/>
  <c r="AG462" i="1"/>
  <c r="AG466" i="1"/>
  <c r="AG508" i="1"/>
  <c r="AG129" i="1"/>
  <c r="AG135" i="1"/>
  <c r="AG177" i="1"/>
  <c r="AG190" i="1"/>
  <c r="AG214" i="1"/>
  <c r="AG235" i="1"/>
  <c r="AG290" i="1"/>
  <c r="AG314" i="1"/>
  <c r="AG340" i="1"/>
  <c r="AG385" i="1"/>
  <c r="AG428" i="1"/>
  <c r="AG455" i="1"/>
  <c r="AG505" i="1"/>
  <c r="AG256" i="1"/>
  <c r="AG262" i="1"/>
  <c r="AG130" i="1"/>
  <c r="AG143" i="1"/>
  <c r="AG151" i="1"/>
  <c r="AG178" i="1"/>
  <c r="AG191" i="1"/>
  <c r="AG215" i="1"/>
  <c r="AG247" i="1"/>
  <c r="AG299" i="1"/>
  <c r="AG315" i="1"/>
  <c r="AG341" i="1"/>
  <c r="AG367" i="1"/>
  <c r="AG386" i="1"/>
  <c r="AG402" i="1"/>
  <c r="AG439" i="1"/>
  <c r="AG474" i="1"/>
  <c r="AG485" i="1"/>
  <c r="AG506" i="1"/>
  <c r="AG513" i="1"/>
  <c r="AG528" i="1"/>
  <c r="AG342" i="1"/>
  <c r="AG514" i="1"/>
  <c r="AG131" i="1"/>
  <c r="AG152" i="1"/>
  <c r="AG192" i="1"/>
  <c r="AG217" i="1"/>
  <c r="AG236" i="1"/>
  <c r="AG248" i="1"/>
  <c r="AG291" i="1"/>
  <c r="AG343" i="1"/>
  <c r="AG403" i="1"/>
  <c r="AG440" i="1"/>
  <c r="AG475" i="1"/>
  <c r="AG515" i="1"/>
  <c r="AG179" i="1"/>
  <c r="AG300" i="1"/>
  <c r="AG456" i="1"/>
  <c r="AG201" i="1"/>
  <c r="AG292" i="1"/>
  <c r="AG326" i="1"/>
  <c r="AG529" i="1"/>
  <c r="AG429" i="1"/>
  <c r="AG457" i="1"/>
  <c r="AH146" i="1"/>
  <c r="AH301" i="1"/>
  <c r="AH368" i="1"/>
  <c r="AH416" i="1"/>
  <c r="AH441" i="1"/>
  <c r="AH394" i="1"/>
  <c r="AH155" i="1"/>
  <c r="AH417" i="1"/>
  <c r="AH460" i="1"/>
  <c r="AH407" i="1"/>
  <c r="AH156" i="1"/>
  <c r="AH418" i="1"/>
  <c r="AH463" i="1"/>
  <c r="AH379" i="1"/>
  <c r="AH147" i="1"/>
  <c r="AH409" i="1"/>
  <c r="AH447" i="1"/>
  <c r="AH136" i="1"/>
  <c r="AH222" i="1"/>
  <c r="AH266" i="1"/>
  <c r="AH307" i="1"/>
  <c r="AH357" i="1"/>
  <c r="AH395" i="1"/>
  <c r="AH448" i="1"/>
  <c r="AH251" i="1"/>
  <c r="AH374" i="1"/>
  <c r="AH465" i="1"/>
  <c r="AH125" i="1"/>
  <c r="AH126" i="1"/>
  <c r="AH137" i="1"/>
  <c r="AH138" i="1"/>
  <c r="AH168" i="1"/>
  <c r="AH169" i="1"/>
  <c r="AH186" i="1"/>
  <c r="AH185" i="1"/>
  <c r="AH206" i="1"/>
  <c r="AH225" i="1"/>
  <c r="AH252" i="1"/>
  <c r="AH267" i="1"/>
  <c r="AH282" i="1"/>
  <c r="AH321" i="1"/>
  <c r="AH332" i="1"/>
  <c r="AH333" i="1"/>
  <c r="AH396" i="1"/>
  <c r="AH423" i="1"/>
  <c r="AH424" i="1"/>
  <c r="AH467" i="1"/>
  <c r="AH479" i="1"/>
  <c r="AH496" i="1"/>
  <c r="AH283" i="1"/>
  <c r="AH397" i="1"/>
  <c r="AH430" i="1"/>
  <c r="AH480" i="1"/>
  <c r="AH296" i="1"/>
  <c r="AH322" i="1"/>
  <c r="AH358" i="1"/>
  <c r="AH410" i="1"/>
  <c r="AH449" i="1"/>
  <c r="AH139" i="1"/>
  <c r="AH170" i="1"/>
  <c r="AH208" i="1"/>
  <c r="AH226" i="1"/>
  <c r="AH227" i="1"/>
  <c r="AH231" i="1"/>
  <c r="AH240" i="1"/>
  <c r="AH241" i="1"/>
  <c r="AH253" i="1"/>
  <c r="AH261" i="1"/>
  <c r="AH268" i="1"/>
  <c r="AH308" i="1"/>
  <c r="AH334" i="1"/>
  <c r="AH359" i="1"/>
  <c r="AH380" i="1"/>
  <c r="AH411" i="1"/>
  <c r="AH431" i="1"/>
  <c r="AH432" i="1"/>
  <c r="AH450" i="1"/>
  <c r="AH468" i="1"/>
  <c r="AH481" i="1"/>
  <c r="AH497" i="1"/>
  <c r="AH498" i="1"/>
  <c r="AH523" i="1"/>
  <c r="AH132" i="1"/>
  <c r="AH254" i="1"/>
  <c r="AH265" i="1"/>
  <c r="AH269" i="1"/>
  <c r="AH279" i="1"/>
  <c r="AH293" i="1"/>
  <c r="AH297" i="1"/>
  <c r="AH327" i="1"/>
  <c r="AH369" i="1"/>
  <c r="AH371" i="1"/>
  <c r="AH387" i="1"/>
  <c r="AH404" i="1"/>
  <c r="AH405" i="1"/>
  <c r="AH419" i="1"/>
  <c r="AH486" i="1"/>
  <c r="AH489" i="1"/>
  <c r="AH519" i="1"/>
  <c r="AH531" i="1"/>
  <c r="AH133" i="1"/>
  <c r="AH144" i="1"/>
  <c r="AH160" i="1"/>
  <c r="AH193" i="1"/>
  <c r="AH218" i="1"/>
  <c r="AH237" i="1"/>
  <c r="AH275" i="1"/>
  <c r="AH302" i="1"/>
  <c r="AH317" i="1"/>
  <c r="AH344" i="1"/>
  <c r="AH370" i="1"/>
  <c r="AH388" i="1"/>
  <c r="AH420" i="1"/>
  <c r="AH442" i="1"/>
  <c r="AH476" i="1"/>
  <c r="AH490" i="1"/>
  <c r="AH516" i="1"/>
  <c r="AH533" i="1"/>
  <c r="AH134" i="1"/>
  <c r="AH180" i="1"/>
  <c r="AH187" i="1"/>
  <c r="AH303" i="1"/>
  <c r="AH345" i="1"/>
  <c r="AH389" i="1"/>
  <c r="AH458" i="1"/>
  <c r="AH487" i="1"/>
  <c r="AH517" i="1"/>
  <c r="AH140" i="1"/>
  <c r="AH161" i="1"/>
  <c r="AH188" i="1"/>
  <c r="AH209" i="1"/>
  <c r="AH284" i="1"/>
  <c r="AH309" i="1"/>
  <c r="AH336" i="1"/>
  <c r="AH360" i="1"/>
  <c r="AH398" i="1"/>
  <c r="AH433" i="1"/>
  <c r="AH482" i="1"/>
  <c r="AH499" i="1"/>
  <c r="AH524" i="1"/>
  <c r="AH127" i="1"/>
  <c r="AH148" i="1"/>
  <c r="AH167" i="1"/>
  <c r="AH197" i="1"/>
  <c r="AH232" i="1"/>
  <c r="AH242" i="1"/>
  <c r="AH285" i="1"/>
  <c r="AH306" i="1"/>
  <c r="AH361" i="1"/>
  <c r="AH381" i="1"/>
  <c r="AH425" i="1"/>
  <c r="AH469" i="1"/>
  <c r="AH510" i="1"/>
  <c r="AH141" i="1"/>
  <c r="AH149" i="1"/>
  <c r="AH171" i="1"/>
  <c r="AH189" i="1"/>
  <c r="AH243" i="1"/>
  <c r="AH286" i="1"/>
  <c r="AH298" i="1"/>
  <c r="AH346" i="1"/>
  <c r="AH399" i="1"/>
  <c r="AH412" i="1"/>
  <c r="AH434" i="1"/>
  <c r="AH459" i="1"/>
  <c r="AH470" i="1"/>
  <c r="AH491" i="1"/>
  <c r="AH500" i="1"/>
  <c r="AH501" i="1"/>
  <c r="AH145" i="1"/>
  <c r="AH157" i="1"/>
  <c r="AH158" i="1"/>
  <c r="AH165" i="1"/>
  <c r="AH166" i="1"/>
  <c r="AH181" i="1"/>
  <c r="AH196" i="1"/>
  <c r="AH210" i="1"/>
  <c r="AH229" i="1"/>
  <c r="AH244" i="1"/>
  <c r="AH249" i="1"/>
  <c r="AH295" i="1"/>
  <c r="AH305" i="1"/>
  <c r="AH347" i="1"/>
  <c r="AH352" i="1"/>
  <c r="AH362" i="1"/>
  <c r="AH375" i="1"/>
  <c r="AH408" i="1"/>
  <c r="AH422" i="1"/>
  <c r="AH435" i="1"/>
  <c r="AH445" i="1"/>
  <c r="AH478" i="1"/>
  <c r="AH495" i="1"/>
  <c r="AH509" i="1"/>
  <c r="AH530" i="1"/>
  <c r="AH172" i="1"/>
  <c r="AH198" i="1"/>
  <c r="AH211" i="1"/>
  <c r="AH270" i="1"/>
  <c r="AH255" i="1"/>
  <c r="AH382" i="1"/>
  <c r="AH451" i="1"/>
  <c r="AH182" i="1"/>
  <c r="AH202" i="1"/>
  <c r="AH277" i="1"/>
  <c r="AH259" i="1"/>
  <c r="AH329" i="1"/>
  <c r="AH337" i="1"/>
  <c r="AH372" i="1"/>
  <c r="AH383" i="1"/>
  <c r="AH391" i="1"/>
  <c r="AH436" i="1"/>
  <c r="AH444" i="1"/>
  <c r="AH464" i="1"/>
  <c r="AH507" i="1"/>
  <c r="AH183" i="1"/>
  <c r="AH204" i="1"/>
  <c r="AH220" i="1"/>
  <c r="AH280" i="1"/>
  <c r="AH164" i="1"/>
  <c r="AH203" i="1"/>
  <c r="AH287" i="1"/>
  <c r="AH354" i="1"/>
  <c r="AH376" i="1"/>
  <c r="AH421" i="1"/>
  <c r="AH461" i="1"/>
  <c r="AH502" i="1"/>
  <c r="AH520" i="1"/>
  <c r="AH162" i="1"/>
  <c r="AH194" i="1"/>
  <c r="AH219" i="1"/>
  <c r="AH276" i="1"/>
  <c r="AH304" i="1"/>
  <c r="AH318" i="1"/>
  <c r="AH348" i="1"/>
  <c r="AH373" i="1"/>
  <c r="AH406" i="1"/>
  <c r="AH437" i="1"/>
  <c r="AH477" i="1"/>
  <c r="AH492" i="1"/>
  <c r="AH518" i="1"/>
  <c r="AH173" i="1"/>
  <c r="AH271" i="1"/>
  <c r="AH310" i="1"/>
  <c r="AH323" i="1"/>
  <c r="AH363" i="1"/>
  <c r="AH384" i="1"/>
  <c r="AH413" i="1"/>
  <c r="AH471" i="1"/>
  <c r="AH493" i="1"/>
  <c r="AH525" i="1"/>
  <c r="AH163" i="1"/>
  <c r="AH174" i="1"/>
  <c r="AH195" i="1"/>
  <c r="AH212" i="1"/>
  <c r="AH233" i="1"/>
  <c r="AH258" i="1"/>
  <c r="AH272" i="1"/>
  <c r="AH311" i="1"/>
  <c r="AH319" i="1"/>
  <c r="AH324" i="1"/>
  <c r="AH364" i="1"/>
  <c r="AH400" i="1"/>
  <c r="AH414" i="1"/>
  <c r="AH438" i="1"/>
  <c r="AH452" i="1"/>
  <c r="AH472" i="1"/>
  <c r="AH494" i="1"/>
  <c r="AH511" i="1"/>
  <c r="AH532" i="1"/>
  <c r="AH150" i="1"/>
  <c r="AH213" i="1"/>
  <c r="AH245" i="1"/>
  <c r="AH312" i="1"/>
  <c r="AH325" i="1"/>
  <c r="AH415" i="1"/>
  <c r="AH473" i="1"/>
  <c r="AH512" i="1"/>
  <c r="AH128" i="1"/>
  <c r="AH154" i="1"/>
  <c r="AH175" i="1"/>
  <c r="AH199" i="1"/>
  <c r="AH238" i="1"/>
  <c r="AH246" i="1"/>
  <c r="AH273" i="1"/>
  <c r="AH288" i="1"/>
  <c r="AH313" i="1"/>
  <c r="AH338" i="1"/>
  <c r="AH365" i="1"/>
  <c r="AH401" i="1"/>
  <c r="AH426" i="1"/>
  <c r="AH453" i="1"/>
  <c r="AH483" i="1"/>
  <c r="AH503" i="1"/>
  <c r="AH526" i="1"/>
  <c r="AH142" i="1"/>
  <c r="AH176" i="1"/>
  <c r="AH200" i="1"/>
  <c r="AH234" i="1"/>
  <c r="AH289" i="1"/>
  <c r="AH320" i="1"/>
  <c r="AH339" i="1"/>
  <c r="AH366" i="1"/>
  <c r="AH427" i="1"/>
  <c r="AH454" i="1"/>
  <c r="AH484" i="1"/>
  <c r="AH504" i="1"/>
  <c r="AH527" i="1"/>
  <c r="AH184" i="1"/>
  <c r="AH205" i="1"/>
  <c r="AH221" i="1"/>
  <c r="AH281" i="1"/>
  <c r="AH260" i="1"/>
  <c r="AH328" i="1"/>
  <c r="AH330" i="1"/>
  <c r="AH349" i="1"/>
  <c r="AH350" i="1"/>
  <c r="AH351" i="1"/>
  <c r="AH353" i="1"/>
  <c r="AH377" i="1"/>
  <c r="AH390" i="1"/>
  <c r="AH392" i="1"/>
  <c r="AH393" i="1"/>
  <c r="AH443" i="1"/>
  <c r="AH446" i="1"/>
  <c r="AH462" i="1"/>
  <c r="AH466" i="1"/>
  <c r="AH508" i="1"/>
  <c r="AH129" i="1"/>
  <c r="AH135" i="1"/>
  <c r="AH177" i="1"/>
  <c r="AH190" i="1"/>
  <c r="AH214" i="1"/>
  <c r="AH235" i="1"/>
  <c r="AH290" i="1"/>
  <c r="AH314" i="1"/>
  <c r="AH340" i="1"/>
  <c r="AH385" i="1"/>
  <c r="AH428" i="1"/>
  <c r="AH455" i="1"/>
  <c r="AH505" i="1"/>
  <c r="AH256" i="1"/>
  <c r="AH262" i="1"/>
  <c r="AH130" i="1"/>
  <c r="AH143" i="1"/>
  <c r="AH151" i="1"/>
  <c r="AH178" i="1"/>
  <c r="AH191" i="1"/>
  <c r="AH215" i="1"/>
  <c r="AH247" i="1"/>
  <c r="AH299" i="1"/>
  <c r="AH315" i="1"/>
  <c r="AH341" i="1"/>
  <c r="AH367" i="1"/>
  <c r="AH386" i="1"/>
  <c r="AH402" i="1"/>
  <c r="AH439" i="1"/>
  <c r="AH474" i="1"/>
  <c r="AH485" i="1"/>
  <c r="AH506" i="1"/>
  <c r="AH513" i="1"/>
  <c r="AH528" i="1"/>
  <c r="AH342" i="1"/>
  <c r="AH514" i="1"/>
  <c r="AH131" i="1"/>
  <c r="AH152" i="1"/>
  <c r="AH192" i="1"/>
  <c r="AH217" i="1"/>
  <c r="AH236" i="1"/>
  <c r="AH248" i="1"/>
  <c r="AH291" i="1"/>
  <c r="AH343" i="1"/>
  <c r="AH403" i="1"/>
  <c r="AH440" i="1"/>
  <c r="AH475" i="1"/>
  <c r="AH515" i="1"/>
  <c r="AH179" i="1"/>
  <c r="AH456" i="1"/>
  <c r="AH201" i="1"/>
  <c r="AH292" i="1"/>
  <c r="AH326" i="1"/>
  <c r="AH529" i="1"/>
  <c r="AH429" i="1"/>
  <c r="AH457" i="1"/>
  <c r="T457" i="1"/>
  <c r="D457" i="1"/>
  <c r="T429" i="1"/>
  <c r="D429" i="1"/>
  <c r="T529" i="1"/>
  <c r="D529" i="1"/>
  <c r="T326" i="1"/>
  <c r="D326" i="1"/>
  <c r="T292" i="1"/>
  <c r="D292" i="1"/>
  <c r="T201" i="1"/>
  <c r="T456" i="1"/>
  <c r="D456" i="1"/>
  <c r="T300" i="1"/>
  <c r="D300" i="1"/>
  <c r="T179" i="1"/>
  <c r="T515" i="1"/>
  <c r="D515" i="1"/>
  <c r="T475" i="1"/>
  <c r="D475" i="1"/>
  <c r="T440" i="1"/>
  <c r="D440" i="1"/>
  <c r="T403" i="1"/>
  <c r="D403" i="1"/>
  <c r="T343" i="1"/>
  <c r="D343" i="1"/>
  <c r="T291" i="1"/>
  <c r="D291" i="1"/>
  <c r="T248" i="1"/>
  <c r="D248" i="1"/>
  <c r="T236" i="1"/>
  <c r="T217" i="1"/>
  <c r="T192" i="1"/>
  <c r="T514" i="1"/>
  <c r="T342" i="1"/>
  <c r="T528" i="1"/>
  <c r="D528" i="1"/>
  <c r="T513" i="1"/>
  <c r="D513" i="1"/>
  <c r="T506" i="1"/>
  <c r="D506" i="1"/>
  <c r="T485" i="1"/>
  <c r="D485" i="1"/>
  <c r="T474" i="1"/>
  <c r="D474" i="1"/>
  <c r="T439" i="1"/>
  <c r="D439" i="1"/>
  <c r="T402" i="1"/>
  <c r="D402" i="1"/>
  <c r="T386" i="1"/>
  <c r="D386" i="1"/>
  <c r="T367" i="1"/>
  <c r="D367" i="1"/>
  <c r="T341" i="1"/>
  <c r="D341" i="1"/>
  <c r="T315" i="1"/>
  <c r="D315" i="1"/>
  <c r="T299" i="1"/>
  <c r="D299" i="1"/>
  <c r="T247" i="1"/>
  <c r="D247" i="1"/>
  <c r="T215" i="1"/>
  <c r="T191" i="1"/>
  <c r="T178" i="1"/>
  <c r="T262" i="1"/>
  <c r="D262" i="1"/>
  <c r="T256" i="1"/>
  <c r="D256" i="1"/>
  <c r="T505" i="1"/>
  <c r="D505" i="1"/>
  <c r="T455" i="1"/>
  <c r="D455" i="1"/>
  <c r="T428" i="1"/>
  <c r="D428" i="1"/>
  <c r="T385" i="1"/>
  <c r="D385" i="1"/>
  <c r="T340" i="1"/>
  <c r="D340" i="1"/>
  <c r="T314" i="1"/>
  <c r="D314" i="1"/>
  <c r="T290" i="1"/>
  <c r="D290" i="1"/>
  <c r="T235" i="1"/>
  <c r="T214" i="1"/>
  <c r="T190" i="1"/>
  <c r="T177" i="1"/>
  <c r="T508" i="1"/>
  <c r="D508" i="1"/>
  <c r="T466" i="1"/>
  <c r="D466" i="1"/>
  <c r="T462" i="1"/>
  <c r="D462" i="1"/>
  <c r="T446" i="1"/>
  <c r="D446" i="1"/>
  <c r="T443" i="1"/>
  <c r="D443" i="1"/>
  <c r="T393" i="1"/>
  <c r="D393" i="1"/>
  <c r="T392" i="1"/>
  <c r="D392" i="1"/>
  <c r="T390" i="1"/>
  <c r="D390" i="1"/>
  <c r="T377" i="1"/>
  <c r="D377" i="1"/>
  <c r="T353" i="1"/>
  <c r="D353" i="1"/>
  <c r="T351" i="1"/>
  <c r="D351" i="1"/>
  <c r="T350" i="1"/>
  <c r="D350" i="1"/>
  <c r="T349" i="1"/>
  <c r="D349" i="1"/>
  <c r="T330" i="1"/>
  <c r="D330" i="1"/>
  <c r="T328" i="1"/>
  <c r="D328" i="1"/>
  <c r="T260" i="1"/>
  <c r="D260" i="1"/>
  <c r="T281" i="1"/>
  <c r="D281" i="1"/>
  <c r="T221" i="1"/>
  <c r="T205" i="1"/>
  <c r="T184" i="1"/>
  <c r="T527" i="1"/>
  <c r="D527" i="1"/>
  <c r="T504" i="1"/>
  <c r="D504" i="1"/>
  <c r="T484" i="1"/>
  <c r="D484" i="1"/>
  <c r="T454" i="1"/>
  <c r="D454" i="1"/>
  <c r="T427" i="1"/>
  <c r="D427" i="1"/>
  <c r="T366" i="1"/>
  <c r="D366" i="1"/>
  <c r="T339" i="1"/>
  <c r="D339" i="1"/>
  <c r="T320" i="1"/>
  <c r="D320" i="1"/>
  <c r="T289" i="1"/>
  <c r="D289" i="1"/>
  <c r="T176" i="1"/>
  <c r="T526" i="1"/>
  <c r="D526" i="1"/>
  <c r="T503" i="1"/>
  <c r="D503" i="1"/>
  <c r="T483" i="1"/>
  <c r="D483" i="1"/>
  <c r="T453" i="1"/>
  <c r="D453" i="1"/>
  <c r="T426" i="1"/>
  <c r="D426" i="1"/>
  <c r="T401" i="1"/>
  <c r="D401" i="1"/>
  <c r="T365" i="1"/>
  <c r="D365" i="1"/>
  <c r="T338" i="1"/>
  <c r="D338" i="1"/>
  <c r="T313" i="1"/>
  <c r="D313" i="1"/>
  <c r="T288" i="1"/>
  <c r="D288" i="1"/>
  <c r="T273" i="1"/>
  <c r="D273" i="1"/>
  <c r="T246" i="1"/>
  <c r="D246" i="1"/>
  <c r="T238" i="1"/>
  <c r="T199" i="1"/>
  <c r="T175" i="1"/>
  <c r="T512" i="1"/>
  <c r="D512" i="1"/>
  <c r="T473" i="1"/>
  <c r="D473" i="1"/>
  <c r="T415" i="1"/>
  <c r="D415" i="1"/>
  <c r="T325" i="1"/>
  <c r="D325" i="1"/>
  <c r="T312" i="1"/>
  <c r="D312" i="1"/>
  <c r="T245" i="1"/>
  <c r="D245" i="1"/>
  <c r="T213" i="1"/>
  <c r="T532" i="1"/>
  <c r="D532" i="1"/>
  <c r="T511" i="1"/>
  <c r="D511" i="1"/>
  <c r="T494" i="1"/>
  <c r="D494" i="1"/>
  <c r="T472" i="1"/>
  <c r="D472" i="1"/>
  <c r="T452" i="1"/>
  <c r="D452" i="1"/>
  <c r="T438" i="1"/>
  <c r="D438" i="1"/>
  <c r="T414" i="1"/>
  <c r="D414" i="1"/>
  <c r="T400" i="1"/>
  <c r="D400" i="1"/>
  <c r="T364" i="1"/>
  <c r="D364" i="1"/>
  <c r="T324" i="1"/>
  <c r="D324" i="1"/>
  <c r="T319" i="1"/>
  <c r="D319" i="1"/>
  <c r="T311" i="1"/>
  <c r="D311" i="1"/>
  <c r="T272" i="1"/>
  <c r="D272" i="1"/>
  <c r="T258" i="1"/>
  <c r="D258" i="1"/>
  <c r="T233" i="1"/>
  <c r="T212" i="1"/>
  <c r="T195" i="1"/>
  <c r="T174" i="1"/>
  <c r="T525" i="1"/>
  <c r="D525" i="1"/>
  <c r="T493" i="1"/>
  <c r="D493" i="1"/>
  <c r="T471" i="1"/>
  <c r="D471" i="1"/>
  <c r="T413" i="1"/>
  <c r="D413" i="1"/>
  <c r="T384" i="1"/>
  <c r="D384" i="1"/>
  <c r="T363" i="1"/>
  <c r="D363" i="1"/>
  <c r="T323" i="1"/>
  <c r="D323" i="1"/>
  <c r="T310" i="1"/>
  <c r="D310" i="1"/>
  <c r="T271" i="1"/>
  <c r="D271" i="1"/>
  <c r="T173" i="1"/>
  <c r="T518" i="1"/>
  <c r="D518" i="1"/>
  <c r="T492" i="1"/>
  <c r="D492" i="1"/>
  <c r="T477" i="1"/>
  <c r="D477" i="1"/>
  <c r="T437" i="1"/>
  <c r="D437" i="1"/>
  <c r="T406" i="1"/>
  <c r="D406" i="1"/>
  <c r="T373" i="1"/>
  <c r="D373" i="1"/>
  <c r="T348" i="1"/>
  <c r="D348" i="1"/>
  <c r="T318" i="1"/>
  <c r="D318" i="1"/>
  <c r="T304" i="1"/>
  <c r="D304" i="1"/>
  <c r="T276" i="1"/>
  <c r="D276" i="1"/>
  <c r="T219" i="1"/>
  <c r="T194" i="1"/>
  <c r="T520" i="1"/>
  <c r="D520" i="1"/>
  <c r="T502" i="1"/>
  <c r="D502" i="1"/>
  <c r="T461" i="1"/>
  <c r="D461" i="1"/>
  <c r="T421" i="1"/>
  <c r="D421" i="1"/>
  <c r="T376" i="1"/>
  <c r="D376" i="1"/>
  <c r="T354" i="1"/>
  <c r="D354" i="1"/>
  <c r="T287" i="1"/>
  <c r="D287" i="1"/>
  <c r="T203" i="1"/>
  <c r="T280" i="1"/>
  <c r="D280" i="1"/>
  <c r="T220" i="1"/>
  <c r="T204" i="1"/>
  <c r="T183" i="1"/>
  <c r="T507" i="1"/>
  <c r="D507" i="1"/>
  <c r="T464" i="1"/>
  <c r="D464" i="1"/>
  <c r="T444" i="1"/>
  <c r="D444" i="1"/>
  <c r="T436" i="1"/>
  <c r="D436" i="1"/>
  <c r="T391" i="1"/>
  <c r="D391" i="1"/>
  <c r="T383" i="1"/>
  <c r="D383" i="1"/>
  <c r="T372" i="1"/>
  <c r="D372" i="1"/>
  <c r="T337" i="1"/>
  <c r="D337" i="1"/>
  <c r="T329" i="1"/>
  <c r="D329" i="1"/>
  <c r="T259" i="1"/>
  <c r="D259" i="1"/>
  <c r="T277" i="1"/>
  <c r="D277" i="1"/>
  <c r="T202" i="1"/>
  <c r="T182" i="1"/>
  <c r="T451" i="1"/>
  <c r="D451" i="1"/>
  <c r="T382" i="1"/>
  <c r="D382" i="1"/>
  <c r="T255" i="1"/>
  <c r="D255" i="1"/>
  <c r="T270" i="1"/>
  <c r="D270" i="1"/>
  <c r="T211" i="1"/>
  <c r="T198" i="1"/>
  <c r="T172" i="1"/>
  <c r="T530" i="1"/>
  <c r="D530" i="1"/>
  <c r="T509" i="1"/>
  <c r="D509" i="1"/>
  <c r="T495" i="1"/>
  <c r="D495" i="1"/>
  <c r="T478" i="1"/>
  <c r="D478" i="1"/>
  <c r="T445" i="1"/>
  <c r="D445" i="1"/>
  <c r="T435" i="1"/>
  <c r="D435" i="1"/>
  <c r="T422" i="1"/>
  <c r="D422" i="1"/>
  <c r="T408" i="1"/>
  <c r="D408" i="1"/>
  <c r="T375" i="1"/>
  <c r="D375" i="1"/>
  <c r="T362" i="1"/>
  <c r="D362" i="1"/>
  <c r="T352" i="1"/>
  <c r="D352" i="1"/>
  <c r="T347" i="1"/>
  <c r="D347" i="1"/>
  <c r="T305" i="1"/>
  <c r="D305" i="1"/>
  <c r="T295" i="1"/>
  <c r="D295" i="1"/>
  <c r="T249" i="1"/>
  <c r="D249" i="1"/>
  <c r="T244" i="1"/>
  <c r="D244" i="1"/>
  <c r="T229" i="1"/>
  <c r="T210" i="1"/>
  <c r="T196" i="1"/>
  <c r="T181" i="1"/>
  <c r="T501" i="1"/>
  <c r="D501" i="1"/>
  <c r="T500" i="1"/>
  <c r="D500" i="1"/>
  <c r="T491" i="1"/>
  <c r="D491" i="1"/>
  <c r="T470" i="1"/>
  <c r="D470" i="1"/>
  <c r="T459" i="1"/>
  <c r="D459" i="1"/>
  <c r="T434" i="1"/>
  <c r="D434" i="1"/>
  <c r="T412" i="1"/>
  <c r="D412" i="1"/>
  <c r="T399" i="1"/>
  <c r="D399" i="1"/>
  <c r="T346" i="1"/>
  <c r="D346" i="1"/>
  <c r="T298" i="1"/>
  <c r="D298" i="1"/>
  <c r="T286" i="1"/>
  <c r="D286" i="1"/>
  <c r="T243" i="1"/>
  <c r="D243" i="1"/>
  <c r="T189" i="1"/>
  <c r="T171" i="1"/>
  <c r="T510" i="1"/>
  <c r="D510" i="1"/>
  <c r="T469" i="1"/>
  <c r="D469" i="1"/>
  <c r="T425" i="1"/>
  <c r="D425" i="1"/>
  <c r="T381" i="1"/>
  <c r="D381" i="1"/>
  <c r="T361" i="1"/>
  <c r="D361" i="1"/>
  <c r="T306" i="1"/>
  <c r="D306" i="1"/>
  <c r="T285" i="1"/>
  <c r="D285" i="1"/>
  <c r="T242" i="1"/>
  <c r="D242" i="1"/>
  <c r="T232" i="1"/>
  <c r="T197" i="1"/>
  <c r="T524" i="1"/>
  <c r="D524" i="1"/>
  <c r="T499" i="1"/>
  <c r="D499" i="1"/>
  <c r="T482" i="1"/>
  <c r="D482" i="1"/>
  <c r="T433" i="1"/>
  <c r="D433" i="1"/>
  <c r="T398" i="1"/>
  <c r="D398" i="1"/>
  <c r="T360" i="1"/>
  <c r="D360" i="1"/>
  <c r="T336" i="1"/>
  <c r="D336" i="1"/>
  <c r="T309" i="1"/>
  <c r="D309" i="1"/>
  <c r="T284" i="1"/>
  <c r="D284" i="1"/>
  <c r="T209" i="1"/>
  <c r="T188" i="1"/>
  <c r="T517" i="1"/>
  <c r="D517" i="1"/>
  <c r="T487" i="1"/>
  <c r="D487" i="1"/>
  <c r="T458" i="1"/>
  <c r="D458" i="1"/>
  <c r="T389" i="1"/>
  <c r="D389" i="1"/>
  <c r="T345" i="1"/>
  <c r="D345" i="1"/>
  <c r="T303" i="1"/>
  <c r="D303" i="1"/>
  <c r="T187" i="1"/>
  <c r="T180" i="1"/>
  <c r="T533" i="1"/>
  <c r="D533" i="1"/>
  <c r="T516" i="1"/>
  <c r="D516" i="1"/>
  <c r="T490" i="1"/>
  <c r="D490" i="1"/>
  <c r="T476" i="1"/>
  <c r="D476" i="1"/>
  <c r="T442" i="1"/>
  <c r="D442" i="1"/>
  <c r="T420" i="1"/>
  <c r="D420" i="1"/>
  <c r="T388" i="1"/>
  <c r="D388" i="1"/>
  <c r="T370" i="1"/>
  <c r="D370" i="1"/>
  <c r="T344" i="1"/>
  <c r="D344" i="1"/>
  <c r="T317" i="1"/>
  <c r="D317" i="1"/>
  <c r="T302" i="1"/>
  <c r="D302" i="1"/>
  <c r="T275" i="1"/>
  <c r="D275" i="1"/>
  <c r="T237" i="1"/>
  <c r="T218" i="1"/>
  <c r="T193" i="1"/>
  <c r="T531" i="1"/>
  <c r="D531" i="1"/>
  <c r="T519" i="1"/>
  <c r="D519" i="1"/>
  <c r="T489" i="1"/>
  <c r="D489" i="1"/>
  <c r="T486" i="1"/>
  <c r="D486" i="1"/>
  <c r="T419" i="1"/>
  <c r="D419" i="1"/>
  <c r="T405" i="1"/>
  <c r="D405" i="1"/>
  <c r="T404" i="1"/>
  <c r="D404" i="1"/>
  <c r="T387" i="1"/>
  <c r="D387" i="1"/>
  <c r="T371" i="1"/>
  <c r="D371" i="1"/>
  <c r="T369" i="1"/>
  <c r="D369" i="1"/>
  <c r="T327" i="1"/>
  <c r="D327" i="1"/>
  <c r="T297" i="1"/>
  <c r="D297" i="1"/>
  <c r="T293" i="1"/>
  <c r="D293" i="1"/>
  <c r="T279" i="1"/>
  <c r="D279" i="1"/>
  <c r="T269" i="1"/>
  <c r="D269" i="1"/>
  <c r="T265" i="1"/>
  <c r="D265" i="1"/>
  <c r="T254" i="1"/>
  <c r="D254" i="1"/>
  <c r="T523" i="1"/>
  <c r="D523" i="1"/>
  <c r="T498" i="1"/>
  <c r="D498" i="1"/>
  <c r="T497" i="1"/>
  <c r="D497" i="1"/>
  <c r="T481" i="1"/>
  <c r="D481" i="1"/>
  <c r="T468" i="1"/>
  <c r="D468" i="1"/>
  <c r="T450" i="1"/>
  <c r="D450" i="1"/>
  <c r="T432" i="1"/>
  <c r="D432" i="1"/>
  <c r="T431" i="1"/>
  <c r="D431" i="1"/>
  <c r="T411" i="1"/>
  <c r="D411" i="1"/>
  <c r="T380" i="1"/>
  <c r="D380" i="1"/>
  <c r="T359" i="1"/>
  <c r="D359" i="1"/>
  <c r="T334" i="1"/>
  <c r="D334" i="1"/>
  <c r="T308" i="1"/>
  <c r="D308" i="1"/>
  <c r="T268" i="1"/>
  <c r="D268" i="1"/>
  <c r="T261" i="1"/>
  <c r="D261" i="1"/>
  <c r="T253" i="1"/>
  <c r="D253" i="1"/>
  <c r="T241" i="1"/>
  <c r="D241" i="1"/>
  <c r="T240" i="1"/>
  <c r="D240" i="1"/>
  <c r="T231" i="1"/>
  <c r="T227" i="1"/>
  <c r="T226" i="1"/>
  <c r="T208" i="1"/>
  <c r="T170" i="1"/>
  <c r="T449" i="1"/>
  <c r="D449" i="1"/>
  <c r="T410" i="1"/>
  <c r="D410" i="1"/>
  <c r="T358" i="1"/>
  <c r="D358" i="1"/>
  <c r="T322" i="1"/>
  <c r="D322" i="1"/>
  <c r="T296" i="1"/>
  <c r="D296" i="1"/>
  <c r="T480" i="1"/>
  <c r="D480" i="1"/>
  <c r="T430" i="1"/>
  <c r="D430" i="1"/>
  <c r="T397" i="1"/>
  <c r="D397" i="1"/>
  <c r="T283" i="1"/>
  <c r="D283" i="1"/>
  <c r="T496" i="1"/>
  <c r="D496" i="1"/>
  <c r="T479" i="1"/>
  <c r="D479" i="1"/>
  <c r="T467" i="1"/>
  <c r="D467" i="1"/>
  <c r="T424" i="1"/>
  <c r="D424" i="1"/>
  <c r="T423" i="1"/>
  <c r="D423" i="1"/>
  <c r="T396" i="1"/>
  <c r="D396" i="1"/>
  <c r="T333" i="1"/>
  <c r="D333" i="1"/>
  <c r="T332" i="1"/>
  <c r="D332" i="1"/>
  <c r="T321" i="1"/>
  <c r="D321" i="1"/>
  <c r="T282" i="1"/>
  <c r="D282" i="1"/>
  <c r="T267" i="1"/>
  <c r="D267" i="1"/>
  <c r="T252" i="1"/>
  <c r="D252" i="1"/>
  <c r="T225" i="1"/>
  <c r="T206" i="1"/>
  <c r="T185" i="1"/>
  <c r="T186" i="1"/>
  <c r="T169" i="1"/>
  <c r="T168" i="1"/>
  <c r="T465" i="1"/>
  <c r="D465" i="1"/>
  <c r="T374" i="1"/>
  <c r="D374" i="1"/>
  <c r="T251" i="1"/>
  <c r="D251" i="1"/>
  <c r="T521" i="1"/>
  <c r="D521" i="1"/>
  <c r="T448" i="1"/>
  <c r="D448" i="1"/>
  <c r="T395" i="1"/>
  <c r="D395" i="1"/>
  <c r="T357" i="1"/>
  <c r="D357" i="1"/>
  <c r="T307" i="1"/>
  <c r="D307" i="1"/>
  <c r="T266" i="1"/>
  <c r="D266" i="1"/>
  <c r="T222" i="1"/>
  <c r="T447" i="1"/>
  <c r="D447" i="1"/>
  <c r="T409" i="1"/>
  <c r="D409" i="1"/>
  <c r="T379" i="1"/>
  <c r="D379" i="1"/>
  <c r="T463" i="1"/>
  <c r="D463" i="1"/>
  <c r="T418" i="1"/>
  <c r="D418" i="1"/>
  <c r="T407" i="1"/>
  <c r="D407" i="1"/>
  <c r="T460" i="1"/>
  <c r="D460" i="1"/>
  <c r="T417" i="1"/>
  <c r="D417" i="1"/>
  <c r="T394" i="1"/>
  <c r="D394" i="1"/>
  <c r="T441" i="1"/>
  <c r="D441" i="1"/>
  <c r="T416" i="1"/>
  <c r="D416" i="1"/>
  <c r="T368" i="1"/>
  <c r="D368" i="1"/>
  <c r="T301" i="1"/>
  <c r="D301" i="1"/>
  <c r="K5" i="17"/>
  <c r="Z5" i="17" s="1"/>
  <c r="C8" i="41"/>
  <c r="C7" i="41"/>
  <c r="L38" i="36"/>
  <c r="L39" i="36"/>
  <c r="L40" i="36"/>
  <c r="V36" i="36"/>
  <c r="V31" i="36"/>
  <c r="V30" i="36"/>
  <c r="V17" i="36"/>
  <c r="V34" i="36"/>
  <c r="V25" i="36"/>
  <c r="V6" i="36"/>
  <c r="V20" i="36"/>
  <c r="V35" i="36"/>
  <c r="V33" i="36"/>
  <c r="V14" i="36"/>
  <c r="V2" i="36"/>
  <c r="V3" i="36"/>
  <c r="V9" i="36"/>
  <c r="V24" i="36"/>
  <c r="V8" i="36"/>
  <c r="V10" i="36"/>
  <c r="V29" i="36"/>
  <c r="V27" i="36"/>
  <c r="V28" i="36"/>
  <c r="V22" i="36"/>
  <c r="V21" i="36"/>
  <c r="V32" i="36"/>
  <c r="V16" i="36"/>
  <c r="V13" i="36"/>
  <c r="V15" i="36"/>
  <c r="V23" i="36"/>
  <c r="V12" i="36"/>
  <c r="V18" i="36"/>
  <c r="V19" i="36"/>
  <c r="V11" i="36"/>
  <c r="V26" i="36"/>
  <c r="V39" i="36"/>
  <c r="V7" i="36"/>
  <c r="V4" i="36"/>
  <c r="V37" i="36"/>
  <c r="V5" i="36"/>
  <c r="E40" i="17"/>
  <c r="G40" i="17" s="1"/>
  <c r="I40" i="17" s="1"/>
  <c r="K40" i="17"/>
  <c r="Z40" i="17" s="1"/>
  <c r="L40" i="17"/>
  <c r="M40" i="17"/>
  <c r="N40" i="17"/>
  <c r="O40" i="17"/>
  <c r="U41" i="36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1" i="17"/>
  <c r="N42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1" i="17"/>
  <c r="M42" i="17"/>
  <c r="L6" i="17"/>
  <c r="L8" i="17"/>
  <c r="L10" i="17"/>
  <c r="AM41" i="36"/>
  <c r="AK41" i="36"/>
  <c r="AJ41" i="36"/>
  <c r="AH41" i="36"/>
  <c r="T41" i="36"/>
  <c r="S41" i="36"/>
  <c r="P41" i="36"/>
  <c r="O41" i="36"/>
  <c r="F41" i="36"/>
  <c r="N40" i="36"/>
  <c r="H40" i="36"/>
  <c r="I40" i="36"/>
  <c r="M40" i="36" s="1"/>
  <c r="AN37" i="36"/>
  <c r="AL37" i="36"/>
  <c r="AF37" i="36"/>
  <c r="AD37" i="36"/>
  <c r="X37" i="36"/>
  <c r="N37" i="36"/>
  <c r="L37" i="36"/>
  <c r="H37" i="36"/>
  <c r="I37" i="36"/>
  <c r="M37" i="36" s="1"/>
  <c r="AN4" i="36"/>
  <c r="AL4" i="36"/>
  <c r="AF4" i="36"/>
  <c r="AD4" i="36"/>
  <c r="X4" i="36"/>
  <c r="N4" i="36"/>
  <c r="L4" i="36"/>
  <c r="H4" i="36"/>
  <c r="I4" i="36" s="1"/>
  <c r="M4" i="36" s="1"/>
  <c r="AN7" i="36"/>
  <c r="AL7" i="36"/>
  <c r="AF7" i="36"/>
  <c r="AD7" i="36"/>
  <c r="X7" i="36"/>
  <c r="N7" i="36"/>
  <c r="L7" i="36"/>
  <c r="H7" i="36"/>
  <c r="I7" i="36" s="1"/>
  <c r="M7" i="36" s="1"/>
  <c r="N39" i="36"/>
  <c r="H39" i="36"/>
  <c r="I39" i="36" s="1"/>
  <c r="M39" i="36" s="1"/>
  <c r="AN26" i="36"/>
  <c r="AL26" i="36"/>
  <c r="AF26" i="36"/>
  <c r="AD26" i="36"/>
  <c r="X26" i="36"/>
  <c r="N26" i="36"/>
  <c r="L26" i="36"/>
  <c r="H26" i="36"/>
  <c r="I26" i="36" s="1"/>
  <c r="M26" i="36" s="1"/>
  <c r="AN11" i="36"/>
  <c r="AL11" i="36"/>
  <c r="AF11" i="36"/>
  <c r="AD11" i="36"/>
  <c r="X11" i="36"/>
  <c r="N11" i="36"/>
  <c r="L11" i="36"/>
  <c r="H11" i="36"/>
  <c r="I11" i="36" s="1"/>
  <c r="M11" i="36" s="1"/>
  <c r="AN19" i="36"/>
  <c r="AL19" i="36"/>
  <c r="AF19" i="36"/>
  <c r="AD19" i="36"/>
  <c r="X19" i="36"/>
  <c r="N19" i="36"/>
  <c r="L19" i="36"/>
  <c r="H19" i="36"/>
  <c r="I19" i="36" s="1"/>
  <c r="M19" i="36" s="1"/>
  <c r="N38" i="36"/>
  <c r="H38" i="36"/>
  <c r="I38" i="36" s="1"/>
  <c r="M38" i="36" s="1"/>
  <c r="AN18" i="36"/>
  <c r="AL18" i="36"/>
  <c r="AF18" i="36"/>
  <c r="AD18" i="36"/>
  <c r="X18" i="36"/>
  <c r="N18" i="36"/>
  <c r="L18" i="36"/>
  <c r="H18" i="36"/>
  <c r="I18" i="36" s="1"/>
  <c r="M18" i="36" s="1"/>
  <c r="AN12" i="36"/>
  <c r="AL12" i="36"/>
  <c r="AF12" i="36"/>
  <c r="AD12" i="36"/>
  <c r="X12" i="36"/>
  <c r="N12" i="36"/>
  <c r="L12" i="36"/>
  <c r="H12" i="36"/>
  <c r="I12" i="36" s="1"/>
  <c r="M12" i="36" s="1"/>
  <c r="AN23" i="36"/>
  <c r="AL23" i="36"/>
  <c r="AF23" i="36"/>
  <c r="AD23" i="36"/>
  <c r="X23" i="36"/>
  <c r="N23" i="36"/>
  <c r="L23" i="36"/>
  <c r="H23" i="36"/>
  <c r="I23" i="36" s="1"/>
  <c r="M23" i="36" s="1"/>
  <c r="AN15" i="36"/>
  <c r="AL15" i="36"/>
  <c r="AE15" i="36"/>
  <c r="AD15" i="36"/>
  <c r="X15" i="36"/>
  <c r="N15" i="36"/>
  <c r="L15" i="36"/>
  <c r="H15" i="36"/>
  <c r="I15" i="36" s="1"/>
  <c r="M15" i="36" s="1"/>
  <c r="AN13" i="36"/>
  <c r="AL13" i="36"/>
  <c r="AE13" i="36"/>
  <c r="AF13" i="36"/>
  <c r="AD13" i="36"/>
  <c r="X13" i="36"/>
  <c r="N13" i="36"/>
  <c r="L13" i="36"/>
  <c r="H13" i="36"/>
  <c r="I13" i="36"/>
  <c r="M13" i="36" s="1"/>
  <c r="AN16" i="36"/>
  <c r="AL16" i="36"/>
  <c r="AF16" i="36"/>
  <c r="AD16" i="36"/>
  <c r="X16" i="36"/>
  <c r="N16" i="36"/>
  <c r="L16" i="36"/>
  <c r="H16" i="36"/>
  <c r="I16" i="36"/>
  <c r="M16" i="36" s="1"/>
  <c r="AN32" i="36"/>
  <c r="AL32" i="36"/>
  <c r="AF32" i="36"/>
  <c r="AD32" i="36"/>
  <c r="X32" i="36"/>
  <c r="N32" i="36"/>
  <c r="L32" i="36"/>
  <c r="H32" i="36"/>
  <c r="I32" i="36" s="1"/>
  <c r="M32" i="36" s="1"/>
  <c r="AN21" i="36"/>
  <c r="AL21" i="36"/>
  <c r="AF21" i="36"/>
  <c r="AD21" i="36"/>
  <c r="X21" i="36"/>
  <c r="N21" i="36"/>
  <c r="L21" i="36"/>
  <c r="H21" i="36"/>
  <c r="I21" i="36"/>
  <c r="M21" i="36" s="1"/>
  <c r="AN22" i="36"/>
  <c r="AL22" i="36"/>
  <c r="AF22" i="36"/>
  <c r="AD22" i="36"/>
  <c r="X22" i="36"/>
  <c r="N22" i="36"/>
  <c r="L22" i="36"/>
  <c r="H22" i="36"/>
  <c r="I22" i="36"/>
  <c r="M22" i="36" s="1"/>
  <c r="AN28" i="36"/>
  <c r="AL28" i="36"/>
  <c r="AF28" i="36"/>
  <c r="AD28" i="36"/>
  <c r="X28" i="36"/>
  <c r="N28" i="36"/>
  <c r="L28" i="36"/>
  <c r="H28" i="36"/>
  <c r="I28" i="36"/>
  <c r="M28" i="36"/>
  <c r="AN27" i="36"/>
  <c r="AL27" i="36"/>
  <c r="AF27" i="36"/>
  <c r="AD27" i="36"/>
  <c r="X27" i="36"/>
  <c r="N27" i="36"/>
  <c r="L27" i="36"/>
  <c r="H27" i="36"/>
  <c r="I27" i="36" s="1"/>
  <c r="M27" i="36" s="1"/>
  <c r="AN29" i="36"/>
  <c r="AL29" i="36"/>
  <c r="AF29" i="36"/>
  <c r="AD29" i="36"/>
  <c r="X29" i="36"/>
  <c r="N29" i="36"/>
  <c r="L29" i="36"/>
  <c r="H29" i="36"/>
  <c r="I29" i="36"/>
  <c r="M29" i="36" s="1"/>
  <c r="AN10" i="36"/>
  <c r="AL10" i="36"/>
  <c r="AE10" i="36"/>
  <c r="AD10" i="36"/>
  <c r="X10" i="36"/>
  <c r="N10" i="36"/>
  <c r="L10" i="36"/>
  <c r="H10" i="36"/>
  <c r="I10" i="36"/>
  <c r="M10" i="36" s="1"/>
  <c r="AN8" i="36"/>
  <c r="AL8" i="36"/>
  <c r="AF8" i="36"/>
  <c r="AD8" i="36"/>
  <c r="X8" i="36"/>
  <c r="N8" i="36"/>
  <c r="L8" i="36"/>
  <c r="H8" i="36"/>
  <c r="I8" i="36"/>
  <c r="M8" i="36" s="1"/>
  <c r="AN24" i="36"/>
  <c r="AL24" i="36"/>
  <c r="AF24" i="36"/>
  <c r="AD24" i="36"/>
  <c r="X24" i="36"/>
  <c r="N24" i="36"/>
  <c r="L24" i="36"/>
  <c r="H24" i="36"/>
  <c r="I24" i="36" s="1"/>
  <c r="M24" i="36" s="1"/>
  <c r="AN9" i="36"/>
  <c r="AL9" i="36"/>
  <c r="AF9" i="36"/>
  <c r="AD9" i="36"/>
  <c r="X9" i="36"/>
  <c r="N9" i="36"/>
  <c r="L9" i="36"/>
  <c r="H9" i="36"/>
  <c r="I9" i="36"/>
  <c r="M9" i="36" s="1"/>
  <c r="AF3" i="36"/>
  <c r="AD3" i="36"/>
  <c r="X3" i="36"/>
  <c r="N3" i="36"/>
  <c r="L3" i="36"/>
  <c r="H3" i="36"/>
  <c r="I3" i="36"/>
  <c r="M3" i="36" s="1"/>
  <c r="AF2" i="36"/>
  <c r="AD2" i="36"/>
  <c r="X2" i="36"/>
  <c r="L2" i="36"/>
  <c r="H2" i="36"/>
  <c r="I2" i="36"/>
  <c r="AF14" i="36"/>
  <c r="AD14" i="36"/>
  <c r="X14" i="36"/>
  <c r="N14" i="36"/>
  <c r="L14" i="36"/>
  <c r="H14" i="36"/>
  <c r="I14" i="36"/>
  <c r="M14" i="36" s="1"/>
  <c r="AN33" i="36"/>
  <c r="AL33" i="36"/>
  <c r="AF33" i="36"/>
  <c r="AD33" i="36"/>
  <c r="X33" i="36"/>
  <c r="N33" i="36"/>
  <c r="L33" i="36"/>
  <c r="H33" i="36"/>
  <c r="I33" i="36"/>
  <c r="M33" i="36" s="1"/>
  <c r="AN35" i="36"/>
  <c r="AL35" i="36"/>
  <c r="AF35" i="36"/>
  <c r="AD35" i="36"/>
  <c r="X35" i="36"/>
  <c r="N35" i="36"/>
  <c r="L35" i="36"/>
  <c r="H35" i="36"/>
  <c r="I35" i="36"/>
  <c r="M35" i="36" s="1"/>
  <c r="AN20" i="36"/>
  <c r="AL20" i="36"/>
  <c r="AF20" i="36"/>
  <c r="AD20" i="36"/>
  <c r="X20" i="36"/>
  <c r="N20" i="36"/>
  <c r="L20" i="36"/>
  <c r="H20" i="36"/>
  <c r="I20" i="36" s="1"/>
  <c r="M20" i="36" s="1"/>
  <c r="AN6" i="36"/>
  <c r="AL6" i="36"/>
  <c r="AE6" i="36"/>
  <c r="AD6" i="36"/>
  <c r="X6" i="36"/>
  <c r="N6" i="36"/>
  <c r="L6" i="36"/>
  <c r="H6" i="36"/>
  <c r="I6" i="36"/>
  <c r="M6" i="36" s="1"/>
  <c r="AN25" i="36"/>
  <c r="AL25" i="36"/>
  <c r="AF25" i="36"/>
  <c r="AD25" i="36"/>
  <c r="X25" i="36"/>
  <c r="N25" i="36"/>
  <c r="L25" i="36"/>
  <c r="H25" i="36"/>
  <c r="I25" i="36"/>
  <c r="M25" i="36" s="1"/>
  <c r="AN34" i="36"/>
  <c r="AL34" i="36"/>
  <c r="AF34" i="36"/>
  <c r="AD34" i="36"/>
  <c r="X34" i="36"/>
  <c r="N34" i="36"/>
  <c r="L34" i="36"/>
  <c r="H34" i="36"/>
  <c r="I34" i="36"/>
  <c r="M34" i="36"/>
  <c r="AN17" i="36"/>
  <c r="AL17" i="36"/>
  <c r="AF17" i="36"/>
  <c r="AD17" i="36"/>
  <c r="X17" i="36"/>
  <c r="N17" i="36"/>
  <c r="L17" i="36"/>
  <c r="H17" i="36"/>
  <c r="I17" i="36" s="1"/>
  <c r="M17" i="36" s="1"/>
  <c r="AN30" i="36"/>
  <c r="AL30" i="36"/>
  <c r="AF30" i="36"/>
  <c r="AD30" i="36"/>
  <c r="X30" i="36"/>
  <c r="N30" i="36"/>
  <c r="L30" i="36"/>
  <c r="H30" i="36"/>
  <c r="I30" i="36"/>
  <c r="M30" i="36" s="1"/>
  <c r="AN31" i="36"/>
  <c r="AL31" i="36"/>
  <c r="AF31" i="36"/>
  <c r="AD31" i="36"/>
  <c r="X31" i="36"/>
  <c r="N31" i="36"/>
  <c r="L31" i="36"/>
  <c r="H31" i="36"/>
  <c r="I31" i="36"/>
  <c r="M31" i="36" s="1"/>
  <c r="AN36" i="36"/>
  <c r="AL36" i="36"/>
  <c r="AF36" i="36"/>
  <c r="AD36" i="36"/>
  <c r="X36" i="36"/>
  <c r="N36" i="36"/>
  <c r="L36" i="36"/>
  <c r="H36" i="36"/>
  <c r="I36" i="36"/>
  <c r="M36" i="36" s="1"/>
  <c r="AN5" i="36"/>
  <c r="AL5" i="36"/>
  <c r="AF5" i="36"/>
  <c r="AD5" i="36"/>
  <c r="X5" i="36"/>
  <c r="N5" i="36"/>
  <c r="L5" i="36"/>
  <c r="H5" i="36"/>
  <c r="I5" i="36" s="1"/>
  <c r="M5" i="36" s="1"/>
  <c r="DC27" i="35"/>
  <c r="DB27" i="35"/>
  <c r="DA27" i="35"/>
  <c r="CZ27" i="35"/>
  <c r="CY27" i="35"/>
  <c r="CX27" i="35"/>
  <c r="CW27" i="35"/>
  <c r="CV27" i="35"/>
  <c r="CU27" i="35"/>
  <c r="CT27" i="35"/>
  <c r="CS27" i="35"/>
  <c r="CR27" i="35"/>
  <c r="CQ27" i="35"/>
  <c r="CP27" i="35"/>
  <c r="CO27" i="35"/>
  <c r="CN27" i="35"/>
  <c r="CM27" i="35"/>
  <c r="CL27" i="35"/>
  <c r="CK27" i="35"/>
  <c r="CJ27" i="35"/>
  <c r="CI27" i="35"/>
  <c r="CH27" i="35"/>
  <c r="CG27" i="35"/>
  <c r="CF27" i="35"/>
  <c r="CE27" i="35"/>
  <c r="CD27" i="35"/>
  <c r="CC27" i="35"/>
  <c r="CB27" i="35"/>
  <c r="CA27" i="35"/>
  <c r="BZ27" i="35"/>
  <c r="BY27" i="35"/>
  <c r="BX27" i="35"/>
  <c r="BW27" i="35"/>
  <c r="BV27" i="35"/>
  <c r="BU27" i="35"/>
  <c r="BT27" i="35"/>
  <c r="BS27" i="35"/>
  <c r="BR27" i="35"/>
  <c r="BQ27" i="35"/>
  <c r="BP27" i="35"/>
  <c r="BO27" i="35"/>
  <c r="BN27" i="35"/>
  <c r="BM27" i="35"/>
  <c r="BL27" i="35"/>
  <c r="BK27" i="35"/>
  <c r="BJ27" i="35"/>
  <c r="BI27" i="35"/>
  <c r="BH27" i="35"/>
  <c r="BG27" i="35"/>
  <c r="BF27" i="35"/>
  <c r="BE27" i="35"/>
  <c r="BD27" i="35"/>
  <c r="BC27" i="35"/>
  <c r="BB27" i="35"/>
  <c r="BA27" i="35"/>
  <c r="AZ27" i="35"/>
  <c r="AY27" i="35"/>
  <c r="AX27" i="35"/>
  <c r="AW27" i="35"/>
  <c r="AV27" i="35"/>
  <c r="AU27" i="35"/>
  <c r="AT27" i="35"/>
  <c r="AS27" i="35"/>
  <c r="AR27" i="35"/>
  <c r="AQ27" i="35"/>
  <c r="AP27" i="35"/>
  <c r="AO27" i="35"/>
  <c r="AN27" i="35"/>
  <c r="AM27" i="35"/>
  <c r="AL27" i="35"/>
  <c r="AK27" i="35"/>
  <c r="AJ27" i="35"/>
  <c r="AI27" i="35"/>
  <c r="AH27" i="35"/>
  <c r="AG27" i="35"/>
  <c r="AF27" i="35"/>
  <c r="AE27" i="35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C27" i="35"/>
  <c r="B27" i="35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AF10" i="36"/>
  <c r="AF6" i="36"/>
  <c r="AF15" i="36"/>
  <c r="E38" i="17"/>
  <c r="G38" i="17" s="1"/>
  <c r="K38" i="17"/>
  <c r="U38" i="17" s="1"/>
  <c r="O38" i="17"/>
  <c r="Y26" i="27"/>
  <c r="Z26" i="27"/>
  <c r="AA26" i="27"/>
  <c r="Y18" i="27"/>
  <c r="Z18" i="27"/>
  <c r="AA18" i="27"/>
  <c r="Y17" i="27"/>
  <c r="Z17" i="27"/>
  <c r="AA17" i="27"/>
  <c r="Y14" i="27"/>
  <c r="Z14" i="27"/>
  <c r="AA14" i="27"/>
  <c r="Y11" i="27"/>
  <c r="Z11" i="27"/>
  <c r="AA11" i="27"/>
  <c r="Y12" i="27"/>
  <c r="Z12" i="27"/>
  <c r="AA12" i="27"/>
  <c r="Y9" i="27"/>
  <c r="Z9" i="27"/>
  <c r="AA9" i="27"/>
  <c r="Y82" i="27"/>
  <c r="Z82" i="27"/>
  <c r="AA82" i="27"/>
  <c r="Y83" i="27"/>
  <c r="Z83" i="27"/>
  <c r="AA83" i="27"/>
  <c r="Y84" i="27"/>
  <c r="Z84" i="27"/>
  <c r="AA84" i="27"/>
  <c r="Y85" i="27"/>
  <c r="Z85" i="27"/>
  <c r="AA85" i="27"/>
  <c r="Y80" i="27"/>
  <c r="Z80" i="27"/>
  <c r="AA80" i="27"/>
  <c r="Y78" i="27"/>
  <c r="Z78" i="27"/>
  <c r="AA78" i="27"/>
  <c r="Y68" i="27"/>
  <c r="Z68" i="27"/>
  <c r="AA68" i="27"/>
  <c r="Y70" i="27"/>
  <c r="Z70" i="27"/>
  <c r="AA70" i="27"/>
  <c r="Y71" i="27"/>
  <c r="Z71" i="27"/>
  <c r="AA71" i="27"/>
  <c r="Y72" i="27"/>
  <c r="Z72" i="27"/>
  <c r="AA72" i="27"/>
  <c r="Y73" i="27"/>
  <c r="Z73" i="27"/>
  <c r="AA73" i="27"/>
  <c r="Y74" i="27"/>
  <c r="Z74" i="27"/>
  <c r="AA74" i="27"/>
  <c r="Y75" i="27"/>
  <c r="Z75" i="27"/>
  <c r="AA75" i="27"/>
  <c r="Y76" i="27"/>
  <c r="Z76" i="27"/>
  <c r="AA76" i="27"/>
  <c r="Y50" i="27"/>
  <c r="Z50" i="27"/>
  <c r="AA50" i="27"/>
  <c r="Y51" i="27"/>
  <c r="Z51" i="27"/>
  <c r="AA51" i="27"/>
  <c r="Y52" i="27"/>
  <c r="Z52" i="27"/>
  <c r="AA52" i="27"/>
  <c r="K39" i="32"/>
  <c r="X98" i="31"/>
  <c r="W98" i="31"/>
  <c r="V98" i="31"/>
  <c r="U98" i="31"/>
  <c r="T98" i="31"/>
  <c r="S98" i="31"/>
  <c r="B98" i="31"/>
  <c r="AA22" i="31"/>
  <c r="Z22" i="31"/>
  <c r="Y22" i="31"/>
  <c r="AA93" i="31"/>
  <c r="Z93" i="31"/>
  <c r="Y93" i="31"/>
  <c r="AA46" i="31"/>
  <c r="Z46" i="31"/>
  <c r="Y46" i="31"/>
  <c r="AA75" i="31"/>
  <c r="Z75" i="31"/>
  <c r="Y75" i="31"/>
  <c r="AA57" i="31"/>
  <c r="Z57" i="31"/>
  <c r="Y57" i="31"/>
  <c r="AA92" i="31"/>
  <c r="Z92" i="31"/>
  <c r="Y92" i="31"/>
  <c r="AA45" i="31"/>
  <c r="Z45" i="31"/>
  <c r="Y45" i="31"/>
  <c r="AA29" i="31"/>
  <c r="Z29" i="31"/>
  <c r="Y29" i="31"/>
  <c r="AA97" i="31"/>
  <c r="Z97" i="31"/>
  <c r="Y97" i="31"/>
  <c r="AA74" i="31"/>
  <c r="Z74" i="31"/>
  <c r="Y74" i="31"/>
  <c r="AA21" i="31"/>
  <c r="Z21" i="31"/>
  <c r="Y21" i="31"/>
  <c r="AA11" i="31"/>
  <c r="Z11" i="31"/>
  <c r="Y11" i="31"/>
  <c r="AA91" i="31"/>
  <c r="Z91" i="31"/>
  <c r="Y91" i="31"/>
  <c r="AA44" i="31"/>
  <c r="Z44" i="31"/>
  <c r="Y44" i="31"/>
  <c r="AA73" i="31"/>
  <c r="Z73" i="31"/>
  <c r="Y73" i="31"/>
  <c r="AA10" i="31"/>
  <c r="Z10" i="31"/>
  <c r="Y10" i="31"/>
  <c r="AA20" i="31"/>
  <c r="Z20" i="31"/>
  <c r="Y20" i="31"/>
  <c r="AA90" i="31"/>
  <c r="Z90" i="31"/>
  <c r="Y90" i="31"/>
  <c r="AA72" i="31"/>
  <c r="Z72" i="31"/>
  <c r="Y72" i="31"/>
  <c r="AA43" i="31"/>
  <c r="Z43" i="31"/>
  <c r="Y43" i="31"/>
  <c r="AA56" i="31"/>
  <c r="Z56" i="31"/>
  <c r="Y56" i="31"/>
  <c r="AA28" i="31"/>
  <c r="Z28" i="31"/>
  <c r="Y28" i="31"/>
  <c r="AA42" i="31"/>
  <c r="Z42" i="31"/>
  <c r="Y42" i="31"/>
  <c r="AA9" i="31"/>
  <c r="Z9" i="31"/>
  <c r="Y9" i="31"/>
  <c r="AA19" i="31"/>
  <c r="Z19" i="31"/>
  <c r="Y19" i="31"/>
  <c r="AA55" i="31"/>
  <c r="Z55" i="31"/>
  <c r="Y55" i="31"/>
  <c r="AA71" i="31"/>
  <c r="Z71" i="31"/>
  <c r="Y71" i="31"/>
  <c r="AA89" i="31"/>
  <c r="Z89" i="31"/>
  <c r="Y89" i="31"/>
  <c r="AA54" i="31"/>
  <c r="Z54" i="31"/>
  <c r="Y54" i="31"/>
  <c r="AA70" i="31"/>
  <c r="Z70" i="31"/>
  <c r="Y70" i="31"/>
  <c r="AA18" i="31"/>
  <c r="Z18" i="31"/>
  <c r="Y18" i="31"/>
  <c r="AA41" i="31"/>
  <c r="Z41" i="31"/>
  <c r="Y41" i="31"/>
  <c r="AA96" i="31"/>
  <c r="Z96" i="31"/>
  <c r="Y96" i="31"/>
  <c r="AA8" i="31"/>
  <c r="Z8" i="31"/>
  <c r="Y8" i="31"/>
  <c r="AA88" i="31"/>
  <c r="Z88" i="31"/>
  <c r="Y88" i="31"/>
  <c r="AA40" i="31"/>
  <c r="Z40" i="31"/>
  <c r="Y40" i="31"/>
  <c r="AA69" i="31"/>
  <c r="Z69" i="31"/>
  <c r="Y69" i="31"/>
  <c r="AA17" i="31"/>
  <c r="Z17" i="31"/>
  <c r="Y17" i="31"/>
  <c r="AA77" i="31"/>
  <c r="Z77" i="31"/>
  <c r="Y77" i="31"/>
  <c r="AA76" i="31"/>
  <c r="Z76" i="31"/>
  <c r="Y76" i="31"/>
  <c r="AA27" i="31"/>
  <c r="Z27" i="31"/>
  <c r="Y27" i="31"/>
  <c r="AA39" i="31"/>
  <c r="Z39" i="31"/>
  <c r="Y39" i="31"/>
  <c r="AA87" i="31"/>
  <c r="Z87" i="31"/>
  <c r="Y87" i="31"/>
  <c r="AA68" i="31"/>
  <c r="Z68" i="31"/>
  <c r="Y68" i="31"/>
  <c r="AA16" i="31"/>
  <c r="Z16" i="31"/>
  <c r="Y16" i="31"/>
  <c r="AA67" i="31"/>
  <c r="Z67" i="31"/>
  <c r="Y67" i="31"/>
  <c r="AA86" i="31"/>
  <c r="Z86" i="31"/>
  <c r="Y86" i="31"/>
  <c r="AA38" i="31"/>
  <c r="Z38" i="31"/>
  <c r="Y38" i="31"/>
  <c r="AA66" i="31"/>
  <c r="Z66" i="31"/>
  <c r="Y66" i="31"/>
  <c r="AA85" i="31"/>
  <c r="Z85" i="31"/>
  <c r="Y85" i="31"/>
  <c r="AA65" i="31"/>
  <c r="Z65" i="31"/>
  <c r="Y65" i="31"/>
  <c r="AA37" i="31"/>
  <c r="Z37" i="31"/>
  <c r="Y37" i="31"/>
  <c r="AA53" i="31"/>
  <c r="Z53" i="31"/>
  <c r="Y53" i="31"/>
  <c r="AA84" i="31"/>
  <c r="Z84" i="31"/>
  <c r="Y84" i="31"/>
  <c r="AA7" i="31"/>
  <c r="Z7" i="31"/>
  <c r="Y7" i="31"/>
  <c r="AA36" i="31"/>
  <c r="Z36" i="31"/>
  <c r="Y36" i="31"/>
  <c r="AA95" i="31"/>
  <c r="Z95" i="31"/>
  <c r="Y95" i="31"/>
  <c r="AA15" i="31"/>
  <c r="Z15" i="31"/>
  <c r="Y15" i="31"/>
  <c r="AA64" i="31"/>
  <c r="Z64" i="31"/>
  <c r="Y64" i="31"/>
  <c r="AA26" i="31"/>
  <c r="Z26" i="31"/>
  <c r="Y26" i="31"/>
  <c r="AA35" i="31"/>
  <c r="Z35" i="31"/>
  <c r="Y35" i="31"/>
  <c r="AA63" i="31"/>
  <c r="Z63" i="31"/>
  <c r="Y63" i="31"/>
  <c r="AA83" i="31"/>
  <c r="Z83" i="31"/>
  <c r="Y83" i="31"/>
  <c r="AA52" i="31"/>
  <c r="Z52" i="31"/>
  <c r="Y52" i="31"/>
  <c r="AA14" i="31"/>
  <c r="Z14" i="31"/>
  <c r="Y14" i="31"/>
  <c r="AA6" i="31"/>
  <c r="Z6" i="31"/>
  <c r="Y6" i="31"/>
  <c r="AA62" i="31"/>
  <c r="Z62" i="31"/>
  <c r="Y62" i="31"/>
  <c r="AA34" i="31"/>
  <c r="Z34" i="31"/>
  <c r="Y34" i="31"/>
  <c r="AA82" i="31"/>
  <c r="Z82" i="31"/>
  <c r="Y82" i="31"/>
  <c r="AA51" i="31"/>
  <c r="Z51" i="31"/>
  <c r="Y51" i="31"/>
  <c r="AA50" i="31"/>
  <c r="Z50" i="31"/>
  <c r="Y50" i="31"/>
  <c r="AA25" i="31"/>
  <c r="Z25" i="31"/>
  <c r="Y25" i="31"/>
  <c r="AA81" i="31"/>
  <c r="Z81" i="31"/>
  <c r="Y81" i="31"/>
  <c r="AA13" i="31"/>
  <c r="Z13" i="31"/>
  <c r="Y13" i="31"/>
  <c r="AA5" i="31"/>
  <c r="Z5" i="31"/>
  <c r="Y5" i="31"/>
  <c r="AA61" i="31"/>
  <c r="Z61" i="31"/>
  <c r="Y61" i="31"/>
  <c r="AA33" i="31"/>
  <c r="Z33" i="31"/>
  <c r="Y33" i="31"/>
  <c r="AA49" i="31"/>
  <c r="Z49" i="31"/>
  <c r="Y49" i="31"/>
  <c r="AA24" i="31"/>
  <c r="Z24" i="31"/>
  <c r="Y24" i="31"/>
  <c r="AA94" i="31"/>
  <c r="Z94" i="31"/>
  <c r="Y94" i="31"/>
  <c r="AA80" i="31"/>
  <c r="Z80" i="31"/>
  <c r="Y80" i="31"/>
  <c r="AA60" i="31"/>
  <c r="Z60" i="31"/>
  <c r="Y60" i="31"/>
  <c r="AA12" i="31"/>
  <c r="Z12" i="31"/>
  <c r="Y12" i="31"/>
  <c r="AA48" i="31"/>
  <c r="Z48" i="31"/>
  <c r="Y48" i="31"/>
  <c r="AA4" i="31"/>
  <c r="Z4" i="31"/>
  <c r="Y4" i="31"/>
  <c r="AA32" i="31"/>
  <c r="Z32" i="31"/>
  <c r="Y32" i="31"/>
  <c r="AA79" i="31"/>
  <c r="Z79" i="31"/>
  <c r="Y79" i="31"/>
  <c r="AA31" i="31"/>
  <c r="Z31" i="31"/>
  <c r="Y31" i="31"/>
  <c r="AA59" i="31"/>
  <c r="Z59" i="31"/>
  <c r="Y59" i="31"/>
  <c r="AA47" i="31"/>
  <c r="Z47" i="31"/>
  <c r="Y47" i="31"/>
  <c r="AA23" i="31"/>
  <c r="Z23" i="31"/>
  <c r="Y23" i="31"/>
  <c r="AA58" i="31"/>
  <c r="Z58" i="31"/>
  <c r="Y58" i="31"/>
  <c r="AA30" i="31"/>
  <c r="Z30" i="31"/>
  <c r="Y30" i="31"/>
  <c r="AA78" i="31"/>
  <c r="Z78" i="31"/>
  <c r="Y78" i="31"/>
  <c r="X163" i="29"/>
  <c r="W163" i="29"/>
  <c r="V163" i="29"/>
  <c r="U163" i="29"/>
  <c r="T163" i="29"/>
  <c r="S163" i="29"/>
  <c r="B163" i="29"/>
  <c r="AA162" i="29"/>
  <c r="Z162" i="29"/>
  <c r="Y162" i="29"/>
  <c r="AA161" i="29"/>
  <c r="Z161" i="29"/>
  <c r="Y161" i="29"/>
  <c r="AA160" i="29"/>
  <c r="Z160" i="29"/>
  <c r="Y160" i="29"/>
  <c r="AA159" i="29"/>
  <c r="Z159" i="29"/>
  <c r="Y159" i="29"/>
  <c r="AA158" i="29"/>
  <c r="Z158" i="29"/>
  <c r="Y158" i="29"/>
  <c r="AA157" i="29"/>
  <c r="Z157" i="29"/>
  <c r="Y157" i="29"/>
  <c r="AA156" i="29"/>
  <c r="Z156" i="29"/>
  <c r="Y156" i="29"/>
  <c r="AA155" i="29"/>
  <c r="Z155" i="29"/>
  <c r="Y155" i="29"/>
  <c r="AA154" i="29"/>
  <c r="Z154" i="29"/>
  <c r="Y154" i="29"/>
  <c r="AA153" i="29"/>
  <c r="Z153" i="29"/>
  <c r="Y153" i="29"/>
  <c r="AA152" i="29"/>
  <c r="Z152" i="29"/>
  <c r="Y152" i="29"/>
  <c r="AA151" i="29"/>
  <c r="Z151" i="29"/>
  <c r="Y151" i="29"/>
  <c r="AA150" i="29"/>
  <c r="Z150" i="29"/>
  <c r="Y150" i="29"/>
  <c r="AA149" i="29"/>
  <c r="Z149" i="29"/>
  <c r="Y149" i="29"/>
  <c r="AA148" i="29"/>
  <c r="Z148" i="29"/>
  <c r="Y148" i="29"/>
  <c r="AA147" i="29"/>
  <c r="Z147" i="29"/>
  <c r="Y147" i="29"/>
  <c r="AA146" i="29"/>
  <c r="Z146" i="29"/>
  <c r="Y146" i="29"/>
  <c r="AA145" i="29"/>
  <c r="Z145" i="29"/>
  <c r="Y145" i="29"/>
  <c r="AA144" i="29"/>
  <c r="Z144" i="29"/>
  <c r="Y144" i="29"/>
  <c r="AA143" i="29"/>
  <c r="Z143" i="29"/>
  <c r="Y143" i="29"/>
  <c r="AA142" i="29"/>
  <c r="Z142" i="29"/>
  <c r="Y142" i="29"/>
  <c r="AA141" i="29"/>
  <c r="Z141" i="29"/>
  <c r="Y141" i="29"/>
  <c r="AA140" i="29"/>
  <c r="Z140" i="29"/>
  <c r="Y140" i="29"/>
  <c r="AA139" i="29"/>
  <c r="Z139" i="29"/>
  <c r="Y139" i="29"/>
  <c r="AA138" i="29"/>
  <c r="Z138" i="29"/>
  <c r="Y138" i="29"/>
  <c r="AA137" i="29"/>
  <c r="Z137" i="29"/>
  <c r="Y137" i="29"/>
  <c r="AA136" i="29"/>
  <c r="Z136" i="29"/>
  <c r="Y136" i="29"/>
  <c r="AA135" i="29"/>
  <c r="Z135" i="29"/>
  <c r="Y135" i="29"/>
  <c r="AA134" i="29"/>
  <c r="Z134" i="29"/>
  <c r="Y134" i="29"/>
  <c r="AA133" i="29"/>
  <c r="Z133" i="29"/>
  <c r="Y133" i="29"/>
  <c r="AA132" i="29"/>
  <c r="Z132" i="29"/>
  <c r="Y132" i="29"/>
  <c r="AA131" i="29"/>
  <c r="Z131" i="29"/>
  <c r="Y131" i="29"/>
  <c r="AA130" i="29"/>
  <c r="Z130" i="29"/>
  <c r="Y130" i="29"/>
  <c r="AA129" i="29"/>
  <c r="Z129" i="29"/>
  <c r="Y129" i="29"/>
  <c r="AA128" i="29"/>
  <c r="Z128" i="29"/>
  <c r="Y128" i="29"/>
  <c r="AA127" i="29"/>
  <c r="Z127" i="29"/>
  <c r="Y127" i="29"/>
  <c r="AA126" i="29"/>
  <c r="Z126" i="29"/>
  <c r="Y126" i="29"/>
  <c r="AA125" i="29"/>
  <c r="Z125" i="29"/>
  <c r="Y125" i="29"/>
  <c r="AA124" i="29"/>
  <c r="Z124" i="29"/>
  <c r="Y124" i="29"/>
  <c r="AA123" i="29"/>
  <c r="Z123" i="29"/>
  <c r="Y123" i="29"/>
  <c r="AA122" i="29"/>
  <c r="Z122" i="29"/>
  <c r="Y122" i="29"/>
  <c r="AA121" i="29"/>
  <c r="Z121" i="29"/>
  <c r="Y121" i="29"/>
  <c r="AA120" i="29"/>
  <c r="Z120" i="29"/>
  <c r="Y120" i="29"/>
  <c r="AA119" i="29"/>
  <c r="Z119" i="29"/>
  <c r="Y119" i="29"/>
  <c r="AA118" i="29"/>
  <c r="Z118" i="29"/>
  <c r="Y118" i="29"/>
  <c r="AA117" i="29"/>
  <c r="Z117" i="29"/>
  <c r="Y117" i="29"/>
  <c r="AA116" i="29"/>
  <c r="Z116" i="29"/>
  <c r="Y116" i="29"/>
  <c r="AA115" i="29"/>
  <c r="Z115" i="29"/>
  <c r="Y115" i="29"/>
  <c r="AA114" i="29"/>
  <c r="Z114" i="29"/>
  <c r="Y114" i="29"/>
  <c r="AA113" i="29"/>
  <c r="Z113" i="29"/>
  <c r="Y113" i="29"/>
  <c r="AA112" i="29"/>
  <c r="Z112" i="29"/>
  <c r="Y112" i="29"/>
  <c r="AA111" i="29"/>
  <c r="Z111" i="29"/>
  <c r="Y111" i="29"/>
  <c r="AA110" i="29"/>
  <c r="Z110" i="29"/>
  <c r="Y110" i="29"/>
  <c r="AA109" i="29"/>
  <c r="Z109" i="29"/>
  <c r="Y109" i="29"/>
  <c r="AA108" i="29"/>
  <c r="Z108" i="29"/>
  <c r="Y108" i="29"/>
  <c r="AA107" i="29"/>
  <c r="Z107" i="29"/>
  <c r="Y107" i="29"/>
  <c r="AA106" i="29"/>
  <c r="Z106" i="29"/>
  <c r="Y106" i="29"/>
  <c r="AA105" i="29"/>
  <c r="Z105" i="29"/>
  <c r="Y105" i="29"/>
  <c r="AA104" i="29"/>
  <c r="Z104" i="29"/>
  <c r="Y104" i="29"/>
  <c r="AA103" i="29"/>
  <c r="Z103" i="29"/>
  <c r="Y103" i="29"/>
  <c r="AA102" i="29"/>
  <c r="Z102" i="29"/>
  <c r="Y102" i="29"/>
  <c r="AA101" i="29"/>
  <c r="Z101" i="29"/>
  <c r="Y101" i="29"/>
  <c r="AA100" i="29"/>
  <c r="Z100" i="29"/>
  <c r="Y100" i="29"/>
  <c r="AA99" i="29"/>
  <c r="Z99" i="29"/>
  <c r="Y99" i="29"/>
  <c r="AA98" i="29"/>
  <c r="Z98" i="29"/>
  <c r="Y98" i="29"/>
  <c r="AA97" i="29"/>
  <c r="Z97" i="29"/>
  <c r="Y97" i="29"/>
  <c r="AA96" i="29"/>
  <c r="Z96" i="29"/>
  <c r="Y96" i="29"/>
  <c r="AA95" i="29"/>
  <c r="Z95" i="29"/>
  <c r="Y95" i="29"/>
  <c r="AA94" i="29"/>
  <c r="Z94" i="29"/>
  <c r="Y94" i="29"/>
  <c r="AA93" i="29"/>
  <c r="Z93" i="29"/>
  <c r="Y93" i="29"/>
  <c r="AA92" i="29"/>
  <c r="Z92" i="29"/>
  <c r="Y92" i="29"/>
  <c r="AA91" i="29"/>
  <c r="Z91" i="29"/>
  <c r="Y91" i="29"/>
  <c r="AA90" i="29"/>
  <c r="Z90" i="29"/>
  <c r="Y90" i="29"/>
  <c r="AA89" i="29"/>
  <c r="Z89" i="29"/>
  <c r="Y89" i="29"/>
  <c r="AA88" i="29"/>
  <c r="Z88" i="29"/>
  <c r="Y88" i="29"/>
  <c r="AA87" i="29"/>
  <c r="Z87" i="29"/>
  <c r="Y87" i="29"/>
  <c r="AA86" i="29"/>
  <c r="Z86" i="29"/>
  <c r="Y86" i="29"/>
  <c r="AA85" i="29"/>
  <c r="Z85" i="29"/>
  <c r="Y85" i="29"/>
  <c r="AA84" i="29"/>
  <c r="Z84" i="29"/>
  <c r="Y84" i="29"/>
  <c r="AA83" i="29"/>
  <c r="Z83" i="29"/>
  <c r="Y83" i="29"/>
  <c r="AA82" i="29"/>
  <c r="Z82" i="29"/>
  <c r="Y82" i="29"/>
  <c r="AA81" i="29"/>
  <c r="Z81" i="29"/>
  <c r="Y81" i="29"/>
  <c r="AA80" i="29"/>
  <c r="Z80" i="29"/>
  <c r="Y80" i="29"/>
  <c r="AA79" i="29"/>
  <c r="Z79" i="29"/>
  <c r="Y79" i="29"/>
  <c r="AA78" i="29"/>
  <c r="Z78" i="29"/>
  <c r="Y78" i="29"/>
  <c r="AA77" i="29"/>
  <c r="Z77" i="29"/>
  <c r="Y77" i="29"/>
  <c r="AA76" i="29"/>
  <c r="Z76" i="29"/>
  <c r="Y76" i="29"/>
  <c r="AA75" i="29"/>
  <c r="Z75" i="29"/>
  <c r="Y75" i="29"/>
  <c r="AA74" i="29"/>
  <c r="Z74" i="29"/>
  <c r="Y74" i="29"/>
  <c r="AA73" i="29"/>
  <c r="Z73" i="29"/>
  <c r="Y73" i="29"/>
  <c r="AA72" i="29"/>
  <c r="Z72" i="29"/>
  <c r="Y72" i="29"/>
  <c r="AA71" i="29"/>
  <c r="Z71" i="29"/>
  <c r="Y71" i="29"/>
  <c r="AA70" i="29"/>
  <c r="Z70" i="29"/>
  <c r="Y70" i="29"/>
  <c r="AA69" i="29"/>
  <c r="Z69" i="29"/>
  <c r="Y69" i="29"/>
  <c r="AA68" i="29"/>
  <c r="Z68" i="29"/>
  <c r="Y68" i="29"/>
  <c r="AA67" i="29"/>
  <c r="Z67" i="29"/>
  <c r="Y67" i="29"/>
  <c r="AA66" i="29"/>
  <c r="Z66" i="29"/>
  <c r="Y66" i="29"/>
  <c r="AA65" i="29"/>
  <c r="Z65" i="29"/>
  <c r="Y65" i="29"/>
  <c r="AA64" i="29"/>
  <c r="Z64" i="29"/>
  <c r="Y64" i="29"/>
  <c r="AA63" i="29"/>
  <c r="Z63" i="29"/>
  <c r="Y63" i="29"/>
  <c r="AA62" i="29"/>
  <c r="Z62" i="29"/>
  <c r="Y62" i="29"/>
  <c r="AA61" i="29"/>
  <c r="Z61" i="29"/>
  <c r="Y61" i="29"/>
  <c r="AA60" i="29"/>
  <c r="Z60" i="29"/>
  <c r="Y60" i="29"/>
  <c r="AA59" i="29"/>
  <c r="Z59" i="29"/>
  <c r="Y59" i="29"/>
  <c r="AA58" i="29"/>
  <c r="Z58" i="29"/>
  <c r="Y58" i="29"/>
  <c r="AA57" i="29"/>
  <c r="Z57" i="29"/>
  <c r="Y57" i="29"/>
  <c r="AA56" i="29"/>
  <c r="Z56" i="29"/>
  <c r="Y56" i="29"/>
  <c r="AA55" i="29"/>
  <c r="Z55" i="29"/>
  <c r="Y55" i="29"/>
  <c r="AA54" i="29"/>
  <c r="Z54" i="29"/>
  <c r="Y54" i="29"/>
  <c r="AA53" i="29"/>
  <c r="Z53" i="29"/>
  <c r="Y53" i="29"/>
  <c r="AA52" i="29"/>
  <c r="Z52" i="29"/>
  <c r="Y52" i="29"/>
  <c r="AA51" i="29"/>
  <c r="Z51" i="29"/>
  <c r="Y51" i="29"/>
  <c r="AA50" i="29"/>
  <c r="Z50" i="29"/>
  <c r="Y50" i="29"/>
  <c r="AA49" i="29"/>
  <c r="Z49" i="29"/>
  <c r="Y49" i="29"/>
  <c r="AA48" i="29"/>
  <c r="Z48" i="29"/>
  <c r="Y48" i="29"/>
  <c r="AA47" i="29"/>
  <c r="Z47" i="29"/>
  <c r="Y47" i="29"/>
  <c r="AA46" i="29"/>
  <c r="Z46" i="29"/>
  <c r="Y46" i="29"/>
  <c r="AA45" i="29"/>
  <c r="Z45" i="29"/>
  <c r="Y45" i="29"/>
  <c r="AA44" i="29"/>
  <c r="Z44" i="29"/>
  <c r="Y44" i="29"/>
  <c r="AA43" i="29"/>
  <c r="Z43" i="29"/>
  <c r="Y43" i="29"/>
  <c r="AA42" i="29"/>
  <c r="Z42" i="29"/>
  <c r="Y42" i="29"/>
  <c r="AA41" i="29"/>
  <c r="Z41" i="29"/>
  <c r="Y41" i="29"/>
  <c r="AA40" i="29"/>
  <c r="Z40" i="29"/>
  <c r="Y40" i="29"/>
  <c r="AA39" i="29"/>
  <c r="Z39" i="29"/>
  <c r="Y39" i="29"/>
  <c r="AA38" i="29"/>
  <c r="Z38" i="29"/>
  <c r="Y38" i="29"/>
  <c r="AA37" i="29"/>
  <c r="Z37" i="29"/>
  <c r="Y37" i="29"/>
  <c r="AA36" i="29"/>
  <c r="Z36" i="29"/>
  <c r="Y36" i="29"/>
  <c r="AA35" i="29"/>
  <c r="Z35" i="29"/>
  <c r="Y35" i="29"/>
  <c r="AA34" i="29"/>
  <c r="Z34" i="29"/>
  <c r="Y34" i="29"/>
  <c r="AA33" i="29"/>
  <c r="Z33" i="29"/>
  <c r="Y33" i="29"/>
  <c r="AA32" i="29"/>
  <c r="Z32" i="29"/>
  <c r="Y32" i="29"/>
  <c r="AA31" i="29"/>
  <c r="Z31" i="29"/>
  <c r="Y31" i="29"/>
  <c r="AA30" i="29"/>
  <c r="Z30" i="29"/>
  <c r="Y30" i="29"/>
  <c r="AA29" i="29"/>
  <c r="Z29" i="29"/>
  <c r="Y29" i="29"/>
  <c r="AA28" i="29"/>
  <c r="Z28" i="29"/>
  <c r="Y28" i="29"/>
  <c r="AA27" i="29"/>
  <c r="Z27" i="29"/>
  <c r="Y27" i="29"/>
  <c r="AA26" i="29"/>
  <c r="Z26" i="29"/>
  <c r="Y26" i="29"/>
  <c r="AA25" i="29"/>
  <c r="Z25" i="29"/>
  <c r="Y25" i="29"/>
  <c r="AA24" i="29"/>
  <c r="Z24" i="29"/>
  <c r="Y24" i="29"/>
  <c r="AA23" i="29"/>
  <c r="Z23" i="29"/>
  <c r="Y23" i="29"/>
  <c r="AA22" i="29"/>
  <c r="Z22" i="29"/>
  <c r="Y22" i="29"/>
  <c r="AA21" i="29"/>
  <c r="Z21" i="29"/>
  <c r="Y21" i="29"/>
  <c r="AA20" i="29"/>
  <c r="Z20" i="29"/>
  <c r="Y20" i="29"/>
  <c r="AA19" i="29"/>
  <c r="Z19" i="29"/>
  <c r="Y19" i="29"/>
  <c r="AA18" i="29"/>
  <c r="Z18" i="29"/>
  <c r="Y18" i="29"/>
  <c r="AA17" i="29"/>
  <c r="Z17" i="29"/>
  <c r="Y17" i="29"/>
  <c r="AA16" i="29"/>
  <c r="Z16" i="29"/>
  <c r="Y16" i="29"/>
  <c r="AA15" i="29"/>
  <c r="Z15" i="29"/>
  <c r="Y15" i="29"/>
  <c r="AA14" i="29"/>
  <c r="Z14" i="29"/>
  <c r="Y14" i="29"/>
  <c r="AA13" i="29"/>
  <c r="Z13" i="29"/>
  <c r="Y13" i="29"/>
  <c r="AA12" i="29"/>
  <c r="Z12" i="29"/>
  <c r="Y12" i="29"/>
  <c r="AA11" i="29"/>
  <c r="Z11" i="29"/>
  <c r="Y11" i="29"/>
  <c r="AA10" i="29"/>
  <c r="Z10" i="29"/>
  <c r="Y10" i="29"/>
  <c r="AA9" i="29"/>
  <c r="Z9" i="29"/>
  <c r="Y9" i="29"/>
  <c r="AA8" i="29"/>
  <c r="Z8" i="29"/>
  <c r="Y8" i="29"/>
  <c r="AA7" i="29"/>
  <c r="Z7" i="29"/>
  <c r="Y7" i="29"/>
  <c r="AA6" i="29"/>
  <c r="Z6" i="29"/>
  <c r="Y6" i="29"/>
  <c r="AA5" i="29"/>
  <c r="Z5" i="29"/>
  <c r="Y5" i="29"/>
  <c r="AA4" i="29"/>
  <c r="Z4" i="29"/>
  <c r="Y4" i="29"/>
  <c r="Q98" i="31"/>
  <c r="R98" i="31"/>
  <c r="Q163" i="29"/>
  <c r="R163" i="29"/>
  <c r="X459" i="28"/>
  <c r="W459" i="28"/>
  <c r="V459" i="28"/>
  <c r="U459" i="28"/>
  <c r="T459" i="28"/>
  <c r="S459" i="28"/>
  <c r="B459" i="28"/>
  <c r="AA458" i="28"/>
  <c r="Z458" i="28"/>
  <c r="Y458" i="28"/>
  <c r="AA457" i="28"/>
  <c r="Z457" i="28"/>
  <c r="Y457" i="28"/>
  <c r="AA456" i="28"/>
  <c r="Z456" i="28"/>
  <c r="Y456" i="28"/>
  <c r="AA455" i="28"/>
  <c r="Z455" i="28"/>
  <c r="Y455" i="28"/>
  <c r="AA454" i="28"/>
  <c r="Z454" i="28"/>
  <c r="Y454" i="28"/>
  <c r="AA453" i="28"/>
  <c r="Z453" i="28"/>
  <c r="Y453" i="28"/>
  <c r="AA452" i="28"/>
  <c r="Z452" i="28"/>
  <c r="Y452" i="28"/>
  <c r="AA451" i="28"/>
  <c r="Z451" i="28"/>
  <c r="Y451" i="28"/>
  <c r="AA450" i="28"/>
  <c r="Z450" i="28"/>
  <c r="Y450" i="28"/>
  <c r="AA449" i="28"/>
  <c r="Z449" i="28"/>
  <c r="Y449" i="28"/>
  <c r="AA448" i="28"/>
  <c r="Z448" i="28"/>
  <c r="Y448" i="28"/>
  <c r="AA447" i="28"/>
  <c r="Z447" i="28"/>
  <c r="Y447" i="28"/>
  <c r="AA446" i="28"/>
  <c r="Z446" i="28"/>
  <c r="Y446" i="28"/>
  <c r="AA445" i="28"/>
  <c r="Z445" i="28"/>
  <c r="Y445" i="28"/>
  <c r="AA444" i="28"/>
  <c r="Z444" i="28"/>
  <c r="Y444" i="28"/>
  <c r="AA443" i="28"/>
  <c r="Z443" i="28"/>
  <c r="Y443" i="28"/>
  <c r="AA442" i="28"/>
  <c r="Z442" i="28"/>
  <c r="Y442" i="28"/>
  <c r="AA441" i="28"/>
  <c r="Z441" i="28"/>
  <c r="Y441" i="28"/>
  <c r="AA440" i="28"/>
  <c r="Z440" i="28"/>
  <c r="Y440" i="28"/>
  <c r="AA439" i="28"/>
  <c r="Z439" i="28"/>
  <c r="Y439" i="28"/>
  <c r="AA438" i="28"/>
  <c r="Z438" i="28"/>
  <c r="Y438" i="28"/>
  <c r="AA437" i="28"/>
  <c r="Z437" i="28"/>
  <c r="Y437" i="28"/>
  <c r="AA436" i="28"/>
  <c r="Z436" i="28"/>
  <c r="Y436" i="28"/>
  <c r="AA435" i="28"/>
  <c r="Z435" i="28"/>
  <c r="Y435" i="28"/>
  <c r="AA434" i="28"/>
  <c r="Z434" i="28"/>
  <c r="Y434" i="28"/>
  <c r="AA433" i="28"/>
  <c r="Z433" i="28"/>
  <c r="Y433" i="28"/>
  <c r="AA432" i="28"/>
  <c r="Z432" i="28"/>
  <c r="Y432" i="28"/>
  <c r="AA431" i="28"/>
  <c r="Z431" i="28"/>
  <c r="Y431" i="28"/>
  <c r="AA430" i="28"/>
  <c r="Z430" i="28"/>
  <c r="Y430" i="28"/>
  <c r="AA429" i="28"/>
  <c r="Z429" i="28"/>
  <c r="Y429" i="28"/>
  <c r="AA428" i="28"/>
  <c r="Z428" i="28"/>
  <c r="Y428" i="28"/>
  <c r="AA427" i="28"/>
  <c r="Z427" i="28"/>
  <c r="Y427" i="28"/>
  <c r="AA426" i="28"/>
  <c r="Z426" i="28"/>
  <c r="Y426" i="28"/>
  <c r="AA425" i="28"/>
  <c r="Z425" i="28"/>
  <c r="Y425" i="28"/>
  <c r="AA424" i="28"/>
  <c r="Z424" i="28"/>
  <c r="Y424" i="28"/>
  <c r="AA423" i="28"/>
  <c r="Z423" i="28"/>
  <c r="Y423" i="28"/>
  <c r="AA422" i="28"/>
  <c r="Z422" i="28"/>
  <c r="Y422" i="28"/>
  <c r="AA421" i="28"/>
  <c r="Z421" i="28"/>
  <c r="Y421" i="28"/>
  <c r="AA419" i="28"/>
  <c r="Z419" i="28"/>
  <c r="Y419" i="28"/>
  <c r="AA418" i="28"/>
  <c r="Z418" i="28"/>
  <c r="Y418" i="28"/>
  <c r="AA417" i="28"/>
  <c r="Z417" i="28"/>
  <c r="Y417" i="28"/>
  <c r="AA416" i="28"/>
  <c r="Z416" i="28"/>
  <c r="Y416" i="28"/>
  <c r="AA415" i="28"/>
  <c r="Z415" i="28"/>
  <c r="Y415" i="28"/>
  <c r="AA414" i="28"/>
  <c r="Z414" i="28"/>
  <c r="Y414" i="28"/>
  <c r="AA413" i="28"/>
  <c r="Z413" i="28"/>
  <c r="Y413" i="28"/>
  <c r="AA412" i="28"/>
  <c r="Z412" i="28"/>
  <c r="Y412" i="28"/>
  <c r="AA411" i="28"/>
  <c r="Z411" i="28"/>
  <c r="Y411" i="28"/>
  <c r="AA410" i="28"/>
  <c r="Z410" i="28"/>
  <c r="Y410" i="28"/>
  <c r="AA409" i="28"/>
  <c r="Z409" i="28"/>
  <c r="Y409" i="28"/>
  <c r="AA408" i="28"/>
  <c r="Z408" i="28"/>
  <c r="Y408" i="28"/>
  <c r="AA407" i="28"/>
  <c r="Z407" i="28"/>
  <c r="Y407" i="28"/>
  <c r="AA406" i="28"/>
  <c r="Z406" i="28"/>
  <c r="Y406" i="28"/>
  <c r="AA405" i="28"/>
  <c r="Z405" i="28"/>
  <c r="Y405" i="28"/>
  <c r="AA404" i="28"/>
  <c r="Z404" i="28"/>
  <c r="Y404" i="28"/>
  <c r="AA403" i="28"/>
  <c r="Z403" i="28"/>
  <c r="Y403" i="28"/>
  <c r="AA402" i="28"/>
  <c r="Z402" i="28"/>
  <c r="Y402" i="28"/>
  <c r="AA401" i="28"/>
  <c r="Z401" i="28"/>
  <c r="Y401" i="28"/>
  <c r="AA400" i="28"/>
  <c r="Z400" i="28"/>
  <c r="Y400" i="28"/>
  <c r="AA399" i="28"/>
  <c r="Z399" i="28"/>
  <c r="Y399" i="28"/>
  <c r="AA398" i="28"/>
  <c r="Z398" i="28"/>
  <c r="Y398" i="28"/>
  <c r="AA397" i="28"/>
  <c r="Z397" i="28"/>
  <c r="Y397" i="28"/>
  <c r="AA396" i="28"/>
  <c r="Z396" i="28"/>
  <c r="Y396" i="28"/>
  <c r="AA395" i="28"/>
  <c r="Z395" i="28"/>
  <c r="Y395" i="28"/>
  <c r="AA394" i="28"/>
  <c r="Z394" i="28"/>
  <c r="Y394" i="28"/>
  <c r="AA393" i="28"/>
  <c r="Z393" i="28"/>
  <c r="Y393" i="28"/>
  <c r="AA392" i="28"/>
  <c r="Z392" i="28"/>
  <c r="Y392" i="28"/>
  <c r="AA391" i="28"/>
  <c r="Z391" i="28"/>
  <c r="Y391" i="28"/>
  <c r="AA390" i="28"/>
  <c r="Z390" i="28"/>
  <c r="Y390" i="28"/>
  <c r="AA389" i="28"/>
  <c r="Z389" i="28"/>
  <c r="Y389" i="28"/>
  <c r="AA388" i="28"/>
  <c r="Z388" i="28"/>
  <c r="Y388" i="28"/>
  <c r="AA387" i="28"/>
  <c r="Z387" i="28"/>
  <c r="Y387" i="28"/>
  <c r="AA386" i="28"/>
  <c r="Z386" i="28"/>
  <c r="Y386" i="28"/>
  <c r="AA385" i="28"/>
  <c r="Z385" i="28"/>
  <c r="Y385" i="28"/>
  <c r="AA384" i="28"/>
  <c r="Z384" i="28"/>
  <c r="Y384" i="28"/>
  <c r="AA383" i="28"/>
  <c r="Z383" i="28"/>
  <c r="Y383" i="28"/>
  <c r="AA382" i="28"/>
  <c r="Z382" i="28"/>
  <c r="Y382" i="28"/>
  <c r="AA381" i="28"/>
  <c r="Z381" i="28"/>
  <c r="Y381" i="28"/>
  <c r="AA380" i="28"/>
  <c r="Z380" i="28"/>
  <c r="Y380" i="28"/>
  <c r="AA379" i="28"/>
  <c r="Z379" i="28"/>
  <c r="Y379" i="28"/>
  <c r="AA378" i="28"/>
  <c r="Z378" i="28"/>
  <c r="Y378" i="28"/>
  <c r="AA377" i="28"/>
  <c r="Z377" i="28"/>
  <c r="Y377" i="28"/>
  <c r="AA376" i="28"/>
  <c r="Z376" i="28"/>
  <c r="Y376" i="28"/>
  <c r="AA375" i="28"/>
  <c r="Z375" i="28"/>
  <c r="Y375" i="28"/>
  <c r="AA374" i="28"/>
  <c r="Z374" i="28"/>
  <c r="Y374" i="28"/>
  <c r="AA373" i="28"/>
  <c r="Z373" i="28"/>
  <c r="Y373" i="28"/>
  <c r="AA372" i="28"/>
  <c r="Z372" i="28"/>
  <c r="Y372" i="28"/>
  <c r="AA371" i="28"/>
  <c r="Z371" i="28"/>
  <c r="Y371" i="28"/>
  <c r="AA370" i="28"/>
  <c r="Z370" i="28"/>
  <c r="Y370" i="28"/>
  <c r="AA369" i="28"/>
  <c r="Z369" i="28"/>
  <c r="Y369" i="28"/>
  <c r="AA368" i="28"/>
  <c r="Z368" i="28"/>
  <c r="Y368" i="28"/>
  <c r="AA367" i="28"/>
  <c r="Z367" i="28"/>
  <c r="Y367" i="28"/>
  <c r="AA366" i="28"/>
  <c r="Z366" i="28"/>
  <c r="Y366" i="28"/>
  <c r="AA365" i="28"/>
  <c r="Z365" i="28"/>
  <c r="Y365" i="28"/>
  <c r="AA364" i="28"/>
  <c r="Z364" i="28"/>
  <c r="Y364" i="28"/>
  <c r="AA363" i="28"/>
  <c r="Z363" i="28"/>
  <c r="Y363" i="28"/>
  <c r="AA362" i="28"/>
  <c r="Z362" i="28"/>
  <c r="Y362" i="28"/>
  <c r="AA361" i="28"/>
  <c r="Z361" i="28"/>
  <c r="Y361" i="28"/>
  <c r="AA359" i="28"/>
  <c r="Z359" i="28"/>
  <c r="Y359" i="28"/>
  <c r="AA358" i="28"/>
  <c r="Z358" i="28"/>
  <c r="Y358" i="28"/>
  <c r="AA357" i="28"/>
  <c r="Z357" i="28"/>
  <c r="Y357" i="28"/>
  <c r="AA356" i="28"/>
  <c r="Z356" i="28"/>
  <c r="Y356" i="28"/>
  <c r="AA355" i="28"/>
  <c r="Z355" i="28"/>
  <c r="Y355" i="28"/>
  <c r="AA354" i="28"/>
  <c r="Z354" i="28"/>
  <c r="Y354" i="28"/>
  <c r="AA353" i="28"/>
  <c r="Z353" i="28"/>
  <c r="Y353" i="28"/>
  <c r="AA352" i="28"/>
  <c r="Z352" i="28"/>
  <c r="Y352" i="28"/>
  <c r="AA351" i="28"/>
  <c r="Z351" i="28"/>
  <c r="Y351" i="28"/>
  <c r="AA350" i="28"/>
  <c r="Z350" i="28"/>
  <c r="Y350" i="28"/>
  <c r="AA349" i="28"/>
  <c r="Z349" i="28"/>
  <c r="Y349" i="28"/>
  <c r="AA348" i="28"/>
  <c r="Z348" i="28"/>
  <c r="Y348" i="28"/>
  <c r="AA347" i="28"/>
  <c r="Z347" i="28"/>
  <c r="Y347" i="28"/>
  <c r="AA346" i="28"/>
  <c r="Z346" i="28"/>
  <c r="Y346" i="28"/>
  <c r="AA345" i="28"/>
  <c r="Z345" i="28"/>
  <c r="Y345" i="28"/>
  <c r="AA344" i="28"/>
  <c r="Z344" i="28"/>
  <c r="Y344" i="28"/>
  <c r="AA343" i="28"/>
  <c r="Z343" i="28"/>
  <c r="Y343" i="28"/>
  <c r="AA342" i="28"/>
  <c r="Z342" i="28"/>
  <c r="Y342" i="28"/>
  <c r="AA341" i="28"/>
  <c r="Z341" i="28"/>
  <c r="Y341" i="28"/>
  <c r="AA340" i="28"/>
  <c r="Z340" i="28"/>
  <c r="Y340" i="28"/>
  <c r="AA339" i="28"/>
  <c r="Z339" i="28"/>
  <c r="Y339" i="28"/>
  <c r="AA338" i="28"/>
  <c r="Z338" i="28"/>
  <c r="Y338" i="28"/>
  <c r="AA337" i="28"/>
  <c r="Z337" i="28"/>
  <c r="Y337" i="28"/>
  <c r="AA336" i="28"/>
  <c r="Z336" i="28"/>
  <c r="Y336" i="28"/>
  <c r="AA335" i="28"/>
  <c r="Z335" i="28"/>
  <c r="Y335" i="28"/>
  <c r="AA334" i="28"/>
  <c r="Z334" i="28"/>
  <c r="Y334" i="28"/>
  <c r="AA333" i="28"/>
  <c r="Z333" i="28"/>
  <c r="Y333" i="28"/>
  <c r="AA332" i="28"/>
  <c r="Z332" i="28"/>
  <c r="Y332" i="28"/>
  <c r="AA331" i="28"/>
  <c r="Z331" i="28"/>
  <c r="Y331" i="28"/>
  <c r="AA330" i="28"/>
  <c r="Z330" i="28"/>
  <c r="Y330" i="28"/>
  <c r="AA329" i="28"/>
  <c r="Z329" i="28"/>
  <c r="Y329" i="28"/>
  <c r="AA328" i="28"/>
  <c r="Z328" i="28"/>
  <c r="Y328" i="28"/>
  <c r="AA327" i="28"/>
  <c r="Z327" i="28"/>
  <c r="Y327" i="28"/>
  <c r="AA326" i="28"/>
  <c r="Z326" i="28"/>
  <c r="Y326" i="28"/>
  <c r="AA325" i="28"/>
  <c r="Z325" i="28"/>
  <c r="Y325" i="28"/>
  <c r="AA324" i="28"/>
  <c r="Z324" i="28"/>
  <c r="Y324" i="28"/>
  <c r="AA323" i="28"/>
  <c r="Z323" i="28"/>
  <c r="Y323" i="28"/>
  <c r="AA322" i="28"/>
  <c r="Z322" i="28"/>
  <c r="Y322" i="28"/>
  <c r="AA321" i="28"/>
  <c r="Z321" i="28"/>
  <c r="Y321" i="28"/>
  <c r="AA320" i="28"/>
  <c r="Z320" i="28"/>
  <c r="Y320" i="28"/>
  <c r="AA319" i="28"/>
  <c r="Z319" i="28"/>
  <c r="Y319" i="28"/>
  <c r="AA318" i="28"/>
  <c r="Z318" i="28"/>
  <c r="Y318" i="28"/>
  <c r="AA317" i="28"/>
  <c r="Z317" i="28"/>
  <c r="Y317" i="28"/>
  <c r="AA316" i="28"/>
  <c r="Z316" i="28"/>
  <c r="Y316" i="28"/>
  <c r="AA315" i="28"/>
  <c r="Z315" i="28"/>
  <c r="Y315" i="28"/>
  <c r="AA314" i="28"/>
  <c r="Z314" i="28"/>
  <c r="Y314" i="28"/>
  <c r="AA313" i="28"/>
  <c r="Z313" i="28"/>
  <c r="Y313" i="28"/>
  <c r="AA312" i="28"/>
  <c r="Z312" i="28"/>
  <c r="Y312" i="28"/>
  <c r="AA311" i="28"/>
  <c r="Z311" i="28"/>
  <c r="Y311" i="28"/>
  <c r="AA310" i="28"/>
  <c r="Z310" i="28"/>
  <c r="Y310" i="28"/>
  <c r="AA309" i="28"/>
  <c r="Z309" i="28"/>
  <c r="Y309" i="28"/>
  <c r="AA308" i="28"/>
  <c r="Z308" i="28"/>
  <c r="Y308" i="28"/>
  <c r="AA307" i="28"/>
  <c r="Z307" i="28"/>
  <c r="Y307" i="28"/>
  <c r="AA306" i="28"/>
  <c r="Z306" i="28"/>
  <c r="Y306" i="28"/>
  <c r="AA305" i="28"/>
  <c r="Z305" i="28"/>
  <c r="Y305" i="28"/>
  <c r="AA304" i="28"/>
  <c r="Z304" i="28"/>
  <c r="Y304" i="28"/>
  <c r="AA303" i="28"/>
  <c r="Z303" i="28"/>
  <c r="Y303" i="28"/>
  <c r="AA302" i="28"/>
  <c r="Z302" i="28"/>
  <c r="Y302" i="28"/>
  <c r="AA301" i="28"/>
  <c r="Z301" i="28"/>
  <c r="Y301" i="28"/>
  <c r="AA300" i="28"/>
  <c r="Z300" i="28"/>
  <c r="Y300" i="28"/>
  <c r="AA299" i="28"/>
  <c r="Z299" i="28"/>
  <c r="Y299" i="28"/>
  <c r="AA298" i="28"/>
  <c r="Z298" i="28"/>
  <c r="Y298" i="28"/>
  <c r="AA297" i="28"/>
  <c r="Z297" i="28"/>
  <c r="Y297" i="28"/>
  <c r="AA296" i="28"/>
  <c r="Z296" i="28"/>
  <c r="Y296" i="28"/>
  <c r="AA295" i="28"/>
  <c r="Z295" i="28"/>
  <c r="Y295" i="28"/>
  <c r="AA294" i="28"/>
  <c r="Z294" i="28"/>
  <c r="Y294" i="28"/>
  <c r="AA293" i="28"/>
  <c r="Z293" i="28"/>
  <c r="Y293" i="28"/>
  <c r="AA292" i="28"/>
  <c r="Z292" i="28"/>
  <c r="Y292" i="28"/>
  <c r="AA291" i="28"/>
  <c r="Z291" i="28"/>
  <c r="Y291" i="28"/>
  <c r="AA290" i="28"/>
  <c r="Z290" i="28"/>
  <c r="Y290" i="28"/>
  <c r="AA289" i="28"/>
  <c r="Z289" i="28"/>
  <c r="Y289" i="28"/>
  <c r="AA288" i="28"/>
  <c r="Z288" i="28"/>
  <c r="Y288" i="28"/>
  <c r="AA287" i="28"/>
  <c r="Z287" i="28"/>
  <c r="Y287" i="28"/>
  <c r="AA286" i="28"/>
  <c r="Z286" i="28"/>
  <c r="Y286" i="28"/>
  <c r="AA285" i="28"/>
  <c r="Z285" i="28"/>
  <c r="Y285" i="28"/>
  <c r="AA284" i="28"/>
  <c r="Z284" i="28"/>
  <c r="Y284" i="28"/>
  <c r="AA283" i="28"/>
  <c r="Z283" i="28"/>
  <c r="Y283" i="28"/>
  <c r="AA282" i="28"/>
  <c r="Z282" i="28"/>
  <c r="Y282" i="28"/>
  <c r="AA281" i="28"/>
  <c r="Z281" i="28"/>
  <c r="Y281" i="28"/>
  <c r="AA280" i="28"/>
  <c r="Z280" i="28"/>
  <c r="Y280" i="28"/>
  <c r="AA279" i="28"/>
  <c r="Z279" i="28"/>
  <c r="Y279" i="28"/>
  <c r="AA278" i="28"/>
  <c r="Z278" i="28"/>
  <c r="Y278" i="28"/>
  <c r="AA277" i="28"/>
  <c r="Z277" i="28"/>
  <c r="Y277" i="28"/>
  <c r="AA276" i="28"/>
  <c r="Z276" i="28"/>
  <c r="Y276" i="28"/>
  <c r="AA275" i="28"/>
  <c r="Z275" i="28"/>
  <c r="Y275" i="28"/>
  <c r="AA274" i="28"/>
  <c r="Z274" i="28"/>
  <c r="Y274" i="28"/>
  <c r="AA273" i="28"/>
  <c r="Z273" i="28"/>
  <c r="Y273" i="28"/>
  <c r="AA272" i="28"/>
  <c r="Z272" i="28"/>
  <c r="Y272" i="28"/>
  <c r="AA271" i="28"/>
  <c r="Z271" i="28"/>
  <c r="Y271" i="28"/>
  <c r="AA270" i="28"/>
  <c r="Z270" i="28"/>
  <c r="Y270" i="28"/>
  <c r="AA269" i="28"/>
  <c r="Z269" i="28"/>
  <c r="Y269" i="28"/>
  <c r="AA268" i="28"/>
  <c r="Z268" i="28"/>
  <c r="Y268" i="28"/>
  <c r="AA267" i="28"/>
  <c r="Z267" i="28"/>
  <c r="Y267" i="28"/>
  <c r="AA266" i="28"/>
  <c r="Z266" i="28"/>
  <c r="Y266" i="28"/>
  <c r="AA265" i="28"/>
  <c r="Z265" i="28"/>
  <c r="Y265" i="28"/>
  <c r="AA264" i="28"/>
  <c r="Z264" i="28"/>
  <c r="Y264" i="28"/>
  <c r="AA263" i="28"/>
  <c r="Z263" i="28"/>
  <c r="Y263" i="28"/>
  <c r="AA262" i="28"/>
  <c r="Z262" i="28"/>
  <c r="Y262" i="28"/>
  <c r="AA261" i="28"/>
  <c r="Z261" i="28"/>
  <c r="Y261" i="28"/>
  <c r="AA260" i="28"/>
  <c r="Z260" i="28"/>
  <c r="Y260" i="28"/>
  <c r="AA259" i="28"/>
  <c r="Z259" i="28"/>
  <c r="Y259" i="28"/>
  <c r="AA258" i="28"/>
  <c r="Z258" i="28"/>
  <c r="Y258" i="28"/>
  <c r="AA257" i="28"/>
  <c r="Z257" i="28"/>
  <c r="Y257" i="28"/>
  <c r="AA256" i="28"/>
  <c r="Z256" i="28"/>
  <c r="Y256" i="28"/>
  <c r="AA255" i="28"/>
  <c r="Z255" i="28"/>
  <c r="Y255" i="28"/>
  <c r="AA254" i="28"/>
  <c r="Z254" i="28"/>
  <c r="Y254" i="28"/>
  <c r="AA253" i="28"/>
  <c r="Z253" i="28"/>
  <c r="Y253" i="28"/>
  <c r="AA252" i="28"/>
  <c r="Z252" i="28"/>
  <c r="Y252" i="28"/>
  <c r="AA251" i="28"/>
  <c r="Z251" i="28"/>
  <c r="Y251" i="28"/>
  <c r="AA250" i="28"/>
  <c r="Z250" i="28"/>
  <c r="Y250" i="28"/>
  <c r="AA249" i="28"/>
  <c r="Z249" i="28"/>
  <c r="Y249" i="28"/>
  <c r="AA248" i="28"/>
  <c r="Z248" i="28"/>
  <c r="Y248" i="28"/>
  <c r="AA247" i="28"/>
  <c r="Z247" i="28"/>
  <c r="Y247" i="28"/>
  <c r="AA246" i="28"/>
  <c r="Z246" i="28"/>
  <c r="Y246" i="28"/>
  <c r="AA245" i="28"/>
  <c r="Z245" i="28"/>
  <c r="Y245" i="28"/>
  <c r="AA244" i="28"/>
  <c r="Z244" i="28"/>
  <c r="Y244" i="28"/>
  <c r="AA243" i="28"/>
  <c r="Z243" i="28"/>
  <c r="Y243" i="28"/>
  <c r="AA242" i="28"/>
  <c r="Z242" i="28"/>
  <c r="Y242" i="28"/>
  <c r="AA241" i="28"/>
  <c r="Z241" i="28"/>
  <c r="Y241" i="28"/>
  <c r="AA240" i="28"/>
  <c r="Z240" i="28"/>
  <c r="Y240" i="28"/>
  <c r="AA239" i="28"/>
  <c r="Z239" i="28"/>
  <c r="Y239" i="28"/>
  <c r="AA238" i="28"/>
  <c r="Z238" i="28"/>
  <c r="Y238" i="28"/>
  <c r="AA237" i="28"/>
  <c r="Z237" i="28"/>
  <c r="Y237" i="28"/>
  <c r="AA236" i="28"/>
  <c r="Z236" i="28"/>
  <c r="Y236" i="28"/>
  <c r="AA235" i="28"/>
  <c r="Z235" i="28"/>
  <c r="Y235" i="28"/>
  <c r="AA234" i="28"/>
  <c r="Z234" i="28"/>
  <c r="Y234" i="28"/>
  <c r="AA233" i="28"/>
  <c r="Z233" i="28"/>
  <c r="Y233" i="28"/>
  <c r="AA232" i="28"/>
  <c r="Z232" i="28"/>
  <c r="Y232" i="28"/>
  <c r="AA231" i="28"/>
  <c r="Z231" i="28"/>
  <c r="Y231" i="28"/>
  <c r="AA230" i="28"/>
  <c r="Z230" i="28"/>
  <c r="Y230" i="28"/>
  <c r="AA229" i="28"/>
  <c r="Z229" i="28"/>
  <c r="Y229" i="28"/>
  <c r="AA228" i="28"/>
  <c r="Z228" i="28"/>
  <c r="Y228" i="28"/>
  <c r="AA227" i="28"/>
  <c r="Z227" i="28"/>
  <c r="Y227" i="28"/>
  <c r="AA226" i="28"/>
  <c r="Z226" i="28"/>
  <c r="Y226" i="28"/>
  <c r="AA225" i="28"/>
  <c r="Z225" i="28"/>
  <c r="Y225" i="28"/>
  <c r="AA224" i="28"/>
  <c r="Z224" i="28"/>
  <c r="Y224" i="28"/>
  <c r="AA223" i="28"/>
  <c r="Z223" i="28"/>
  <c r="Y223" i="28"/>
  <c r="AA222" i="28"/>
  <c r="Z222" i="28"/>
  <c r="Y222" i="28"/>
  <c r="AA221" i="28"/>
  <c r="Z221" i="28"/>
  <c r="Y221" i="28"/>
  <c r="AA220" i="28"/>
  <c r="Z220" i="28"/>
  <c r="Y220" i="28"/>
  <c r="AA219" i="28"/>
  <c r="Z219" i="28"/>
  <c r="Y219" i="28"/>
  <c r="AA218" i="28"/>
  <c r="Z218" i="28"/>
  <c r="Y218" i="28"/>
  <c r="AA217" i="28"/>
  <c r="Z217" i="28"/>
  <c r="Y217" i="28"/>
  <c r="AA216" i="28"/>
  <c r="Z216" i="28"/>
  <c r="Y216" i="28"/>
  <c r="AA215" i="28"/>
  <c r="Z215" i="28"/>
  <c r="Y215" i="28"/>
  <c r="AA214" i="28"/>
  <c r="Z214" i="28"/>
  <c r="Y214" i="28"/>
  <c r="AA213" i="28"/>
  <c r="Z213" i="28"/>
  <c r="Y213" i="28"/>
  <c r="AA212" i="28"/>
  <c r="Z212" i="28"/>
  <c r="Y212" i="28"/>
  <c r="AA211" i="28"/>
  <c r="Z211" i="28"/>
  <c r="Y211" i="28"/>
  <c r="AA210" i="28"/>
  <c r="Z210" i="28"/>
  <c r="Y210" i="28"/>
  <c r="AA209" i="28"/>
  <c r="Z209" i="28"/>
  <c r="Y209" i="28"/>
  <c r="AA208" i="28"/>
  <c r="Z208" i="28"/>
  <c r="Y208" i="28"/>
  <c r="AA207" i="28"/>
  <c r="Z207" i="28"/>
  <c r="Y207" i="28"/>
  <c r="AA206" i="28"/>
  <c r="Z206" i="28"/>
  <c r="Y206" i="28"/>
  <c r="AA205" i="28"/>
  <c r="Z205" i="28"/>
  <c r="Y205" i="28"/>
  <c r="AA204" i="28"/>
  <c r="Z204" i="28"/>
  <c r="Y204" i="28"/>
  <c r="AA203" i="28"/>
  <c r="Z203" i="28"/>
  <c r="Y203" i="28"/>
  <c r="AA202" i="28"/>
  <c r="Z202" i="28"/>
  <c r="Y202" i="28"/>
  <c r="AA201" i="28"/>
  <c r="Z201" i="28"/>
  <c r="Y201" i="28"/>
  <c r="AA200" i="28"/>
  <c r="Z200" i="28"/>
  <c r="Y200" i="28"/>
  <c r="AA199" i="28"/>
  <c r="Z199" i="28"/>
  <c r="Y199" i="28"/>
  <c r="AA198" i="28"/>
  <c r="Z198" i="28"/>
  <c r="Y198" i="28"/>
  <c r="AA197" i="28"/>
  <c r="Z197" i="28"/>
  <c r="Y197" i="28"/>
  <c r="AA196" i="28"/>
  <c r="Z196" i="28"/>
  <c r="Y196" i="28"/>
  <c r="AA195" i="28"/>
  <c r="Z195" i="28"/>
  <c r="Y195" i="28"/>
  <c r="AA194" i="28"/>
  <c r="Z194" i="28"/>
  <c r="Y194" i="28"/>
  <c r="AA193" i="28"/>
  <c r="Z193" i="28"/>
  <c r="Y193" i="28"/>
  <c r="AA192" i="28"/>
  <c r="Z192" i="28"/>
  <c r="Y192" i="28"/>
  <c r="AA191" i="28"/>
  <c r="Z191" i="28"/>
  <c r="Y191" i="28"/>
  <c r="AA190" i="28"/>
  <c r="Z190" i="28"/>
  <c r="Y190" i="28"/>
  <c r="AA189" i="28"/>
  <c r="Z189" i="28"/>
  <c r="Y189" i="28"/>
  <c r="AA188" i="28"/>
  <c r="Z188" i="28"/>
  <c r="Y188" i="28"/>
  <c r="AA187" i="28"/>
  <c r="Z187" i="28"/>
  <c r="Y187" i="28"/>
  <c r="AA186" i="28"/>
  <c r="Z186" i="28"/>
  <c r="Y186" i="28"/>
  <c r="AA185" i="28"/>
  <c r="Z185" i="28"/>
  <c r="Y185" i="28"/>
  <c r="AA184" i="28"/>
  <c r="Z184" i="28"/>
  <c r="Y184" i="28"/>
  <c r="AA183" i="28"/>
  <c r="Z183" i="28"/>
  <c r="Y183" i="28"/>
  <c r="AA182" i="28"/>
  <c r="Z182" i="28"/>
  <c r="Y182" i="28"/>
  <c r="AA181" i="28"/>
  <c r="Z181" i="28"/>
  <c r="Y181" i="28"/>
  <c r="AA180" i="28"/>
  <c r="Z180" i="28"/>
  <c r="Y180" i="28"/>
  <c r="AA179" i="28"/>
  <c r="Z179" i="28"/>
  <c r="Y179" i="28"/>
  <c r="AA178" i="28"/>
  <c r="Z178" i="28"/>
  <c r="Y178" i="28"/>
  <c r="AA177" i="28"/>
  <c r="Z177" i="28"/>
  <c r="Y177" i="28"/>
  <c r="AA176" i="28"/>
  <c r="Z176" i="28"/>
  <c r="Y176" i="28"/>
  <c r="AA175" i="28"/>
  <c r="Z175" i="28"/>
  <c r="Y175" i="28"/>
  <c r="AA174" i="28"/>
  <c r="Z174" i="28"/>
  <c r="Y174" i="28"/>
  <c r="AA173" i="28"/>
  <c r="Z173" i="28"/>
  <c r="Y173" i="28"/>
  <c r="AA172" i="28"/>
  <c r="Z172" i="28"/>
  <c r="Y172" i="28"/>
  <c r="AA171" i="28"/>
  <c r="Z171" i="28"/>
  <c r="Y171" i="28"/>
  <c r="AA170" i="28"/>
  <c r="Z170" i="28"/>
  <c r="Y170" i="28"/>
  <c r="AA169" i="28"/>
  <c r="Z169" i="28"/>
  <c r="Y169" i="28"/>
  <c r="AA168" i="28"/>
  <c r="Z168" i="28"/>
  <c r="Y168" i="28"/>
  <c r="AA167" i="28"/>
  <c r="Z167" i="28"/>
  <c r="Y167" i="28"/>
  <c r="AA166" i="28"/>
  <c r="Z166" i="28"/>
  <c r="Y166" i="28"/>
  <c r="AA165" i="28"/>
  <c r="Z165" i="28"/>
  <c r="Y165" i="28"/>
  <c r="AA164" i="28"/>
  <c r="Z164" i="28"/>
  <c r="Y164" i="28"/>
  <c r="AA163" i="28"/>
  <c r="Z163" i="28"/>
  <c r="Y163" i="28"/>
  <c r="AA162" i="28"/>
  <c r="Z162" i="28"/>
  <c r="Y162" i="28"/>
  <c r="AA161" i="28"/>
  <c r="Z161" i="28"/>
  <c r="Y161" i="28"/>
  <c r="AA160" i="28"/>
  <c r="Z160" i="28"/>
  <c r="Y160" i="28"/>
  <c r="AA159" i="28"/>
  <c r="Z159" i="28"/>
  <c r="Y159" i="28"/>
  <c r="AA158" i="28"/>
  <c r="Z158" i="28"/>
  <c r="Y158" i="28"/>
  <c r="AA157" i="28"/>
  <c r="Z157" i="28"/>
  <c r="Y157" i="28"/>
  <c r="AA156" i="28"/>
  <c r="Z156" i="28"/>
  <c r="Y156" i="28"/>
  <c r="AA155" i="28"/>
  <c r="Z155" i="28"/>
  <c r="Y155" i="28"/>
  <c r="AA154" i="28"/>
  <c r="Z154" i="28"/>
  <c r="Y154" i="28"/>
  <c r="AA153" i="28"/>
  <c r="Z153" i="28"/>
  <c r="Y153" i="28"/>
  <c r="AA152" i="28"/>
  <c r="Z152" i="28"/>
  <c r="Y152" i="28"/>
  <c r="AA151" i="28"/>
  <c r="Z151" i="28"/>
  <c r="Y151" i="28"/>
  <c r="AA150" i="28"/>
  <c r="Z150" i="28"/>
  <c r="Y150" i="28"/>
  <c r="AA149" i="28"/>
  <c r="Z149" i="28"/>
  <c r="Y149" i="28"/>
  <c r="AA148" i="28"/>
  <c r="Z148" i="28"/>
  <c r="Y148" i="28"/>
  <c r="AA147" i="28"/>
  <c r="Z147" i="28"/>
  <c r="Y147" i="28"/>
  <c r="AA146" i="28"/>
  <c r="Z146" i="28"/>
  <c r="Y146" i="28"/>
  <c r="AA145" i="28"/>
  <c r="Z145" i="28"/>
  <c r="Y145" i="28"/>
  <c r="AA144" i="28"/>
  <c r="Z144" i="28"/>
  <c r="Y144" i="28"/>
  <c r="AA143" i="28"/>
  <c r="Z143" i="28"/>
  <c r="Y143" i="28"/>
  <c r="AA142" i="28"/>
  <c r="Z142" i="28"/>
  <c r="Y142" i="28"/>
  <c r="AA141" i="28"/>
  <c r="Z141" i="28"/>
  <c r="Y141" i="28"/>
  <c r="AA140" i="28"/>
  <c r="Z140" i="28"/>
  <c r="Y140" i="28"/>
  <c r="AA139" i="28"/>
  <c r="Z139" i="28"/>
  <c r="Y139" i="28"/>
  <c r="AA138" i="28"/>
  <c r="Z138" i="28"/>
  <c r="Y138" i="28"/>
  <c r="AA137" i="28"/>
  <c r="Z137" i="28"/>
  <c r="Y137" i="28"/>
  <c r="AA136" i="28"/>
  <c r="Z136" i="28"/>
  <c r="Y136" i="28"/>
  <c r="AA135" i="28"/>
  <c r="Z135" i="28"/>
  <c r="Y135" i="28"/>
  <c r="AA134" i="28"/>
  <c r="Z134" i="28"/>
  <c r="Y134" i="28"/>
  <c r="AA133" i="28"/>
  <c r="Z133" i="28"/>
  <c r="Y133" i="28"/>
  <c r="AA132" i="28"/>
  <c r="Z132" i="28"/>
  <c r="Y132" i="28"/>
  <c r="AA131" i="28"/>
  <c r="Z131" i="28"/>
  <c r="Y131" i="28"/>
  <c r="AA130" i="28"/>
  <c r="Z130" i="28"/>
  <c r="Y130" i="28"/>
  <c r="AA129" i="28"/>
  <c r="Z129" i="28"/>
  <c r="Y129" i="28"/>
  <c r="AA128" i="28"/>
  <c r="Z128" i="28"/>
  <c r="Y128" i="28"/>
  <c r="AA127" i="28"/>
  <c r="Z127" i="28"/>
  <c r="Y127" i="28"/>
  <c r="AA126" i="28"/>
  <c r="Z126" i="28"/>
  <c r="Y126" i="28"/>
  <c r="AA125" i="28"/>
  <c r="Z125" i="28"/>
  <c r="Y125" i="28"/>
  <c r="AA124" i="28"/>
  <c r="Z124" i="28"/>
  <c r="Y124" i="28"/>
  <c r="AA123" i="28"/>
  <c r="Z123" i="28"/>
  <c r="Y123" i="28"/>
  <c r="AA122" i="28"/>
  <c r="Z122" i="28"/>
  <c r="Y122" i="28"/>
  <c r="AA121" i="28"/>
  <c r="Z121" i="28"/>
  <c r="Y121" i="28"/>
  <c r="AA120" i="28"/>
  <c r="Z120" i="28"/>
  <c r="Y120" i="28"/>
  <c r="AA119" i="28"/>
  <c r="Z119" i="28"/>
  <c r="Y119" i="28"/>
  <c r="AA118" i="28"/>
  <c r="Z118" i="28"/>
  <c r="Y118" i="28"/>
  <c r="AA117" i="28"/>
  <c r="Z117" i="28"/>
  <c r="Y117" i="28"/>
  <c r="AA116" i="28"/>
  <c r="Z116" i="28"/>
  <c r="Y116" i="28"/>
  <c r="AA115" i="28"/>
  <c r="Z115" i="28"/>
  <c r="Y115" i="28"/>
  <c r="AA114" i="28"/>
  <c r="Z114" i="28"/>
  <c r="Y114" i="28"/>
  <c r="AA113" i="28"/>
  <c r="Z113" i="28"/>
  <c r="Y113" i="28"/>
  <c r="AA63" i="28"/>
  <c r="Z63" i="28"/>
  <c r="Y63" i="28"/>
  <c r="AA47" i="28"/>
  <c r="Z47" i="28"/>
  <c r="Y47" i="28"/>
  <c r="AA102" i="28"/>
  <c r="Z102" i="28"/>
  <c r="Y102" i="28"/>
  <c r="AA101" i="28"/>
  <c r="Z101" i="28"/>
  <c r="Y101" i="28"/>
  <c r="AA31" i="28"/>
  <c r="Z31" i="28"/>
  <c r="Y31" i="28"/>
  <c r="AA96" i="28"/>
  <c r="Z96" i="28"/>
  <c r="Y96" i="28"/>
  <c r="AA62" i="28"/>
  <c r="Z62" i="28"/>
  <c r="Y62" i="28"/>
  <c r="AA100" i="28"/>
  <c r="Z100" i="28"/>
  <c r="Y100" i="28"/>
  <c r="AA81" i="28"/>
  <c r="Z81" i="28"/>
  <c r="Y81" i="28"/>
  <c r="AA46" i="28"/>
  <c r="Z46" i="28"/>
  <c r="Y46" i="28"/>
  <c r="AA30" i="28"/>
  <c r="Z30" i="28"/>
  <c r="Y30" i="28"/>
  <c r="AA61" i="28"/>
  <c r="Z61" i="28"/>
  <c r="Y61" i="28"/>
  <c r="AA6" i="28"/>
  <c r="Z6" i="28"/>
  <c r="Y6" i="28"/>
  <c r="AA29" i="28"/>
  <c r="Z29" i="28"/>
  <c r="Y29" i="28"/>
  <c r="AA45" i="28"/>
  <c r="Z45" i="28"/>
  <c r="Y45" i="28"/>
  <c r="AA105" i="28"/>
  <c r="Z105" i="28"/>
  <c r="Y105" i="28"/>
  <c r="AA10" i="28"/>
  <c r="Z10" i="28"/>
  <c r="Y10" i="28"/>
  <c r="AA104" i="28"/>
  <c r="Z104" i="28"/>
  <c r="Y104" i="28"/>
  <c r="AA8" i="28"/>
  <c r="Z8" i="28"/>
  <c r="Y8" i="28"/>
  <c r="AA60" i="28"/>
  <c r="Z60" i="28"/>
  <c r="Y60" i="28"/>
  <c r="AA12" i="28"/>
  <c r="Z12" i="28"/>
  <c r="Y12" i="28"/>
  <c r="AA28" i="28"/>
  <c r="Z28" i="28"/>
  <c r="Y28" i="28"/>
  <c r="AA87" i="28"/>
  <c r="Z87" i="28"/>
  <c r="Y87" i="28"/>
  <c r="AA59" i="28"/>
  <c r="Z59" i="28"/>
  <c r="Y59" i="28"/>
  <c r="AA103" i="28"/>
  <c r="Z103" i="28"/>
  <c r="Y103" i="28"/>
  <c r="AA94" i="28"/>
  <c r="Z94" i="28"/>
  <c r="Y94" i="28"/>
  <c r="AA91" i="28"/>
  <c r="Z91" i="28"/>
  <c r="Y91" i="28"/>
  <c r="AA89" i="28"/>
  <c r="Z89" i="28"/>
  <c r="Y89" i="28"/>
  <c r="AA93" i="28"/>
  <c r="Z93" i="28"/>
  <c r="Y93" i="28"/>
  <c r="AA44" i="28"/>
  <c r="Z44" i="28"/>
  <c r="Y44" i="28"/>
  <c r="AA90" i="28"/>
  <c r="Z90" i="28"/>
  <c r="Y90" i="28"/>
  <c r="AA27" i="28"/>
  <c r="Z27" i="28"/>
  <c r="Y27" i="28"/>
  <c r="AA88" i="28"/>
  <c r="Z88" i="28"/>
  <c r="Y88" i="28"/>
  <c r="AA71" i="28"/>
  <c r="Z71" i="28"/>
  <c r="Y71" i="28"/>
  <c r="AA92" i="28"/>
  <c r="Z92" i="28"/>
  <c r="Y92" i="28"/>
  <c r="AA43" i="28"/>
  <c r="Z43" i="28"/>
  <c r="Y43" i="28"/>
  <c r="AA68" i="28"/>
  <c r="Z68" i="28"/>
  <c r="Y68" i="28"/>
  <c r="AA67" i="28"/>
  <c r="Z67" i="28"/>
  <c r="Y67" i="28"/>
  <c r="AA26" i="28"/>
  <c r="Z26" i="28"/>
  <c r="Y26" i="28"/>
  <c r="AA58" i="28"/>
  <c r="Z58" i="28"/>
  <c r="Y58" i="28"/>
  <c r="AA42" i="28"/>
  <c r="Z42" i="28"/>
  <c r="Y42" i="28"/>
  <c r="AA70" i="28"/>
  <c r="Z70" i="28"/>
  <c r="Y70" i="28"/>
  <c r="AA80" i="28"/>
  <c r="Z80" i="28"/>
  <c r="Y80" i="28"/>
  <c r="AA25" i="28"/>
  <c r="Z25" i="28"/>
  <c r="Y25" i="28"/>
  <c r="AA57" i="28"/>
  <c r="Z57" i="28"/>
  <c r="Y57" i="28"/>
  <c r="AA41" i="28"/>
  <c r="Z41" i="28"/>
  <c r="Y41" i="28"/>
  <c r="AA112" i="28"/>
  <c r="Z112" i="28"/>
  <c r="Y112" i="28"/>
  <c r="AA64" i="28"/>
  <c r="Z64" i="28"/>
  <c r="Y64" i="28"/>
  <c r="AA56" i="28"/>
  <c r="Z56" i="28"/>
  <c r="Y56" i="28"/>
  <c r="AA24" i="28"/>
  <c r="Z24" i="28"/>
  <c r="Y24" i="28"/>
  <c r="AA40" i="28"/>
  <c r="Z40" i="28"/>
  <c r="Y40" i="28"/>
  <c r="AA66" i="28"/>
  <c r="Z66" i="28"/>
  <c r="Y66" i="28"/>
  <c r="AA23" i="28"/>
  <c r="Z23" i="28"/>
  <c r="Y23" i="28"/>
  <c r="AA4" i="28"/>
  <c r="Z4" i="28"/>
  <c r="Y4" i="28"/>
  <c r="AA79" i="28"/>
  <c r="Z79" i="28"/>
  <c r="Y79" i="28"/>
  <c r="AA55" i="28"/>
  <c r="Z55" i="28"/>
  <c r="Y55" i="28"/>
  <c r="AA22" i="28"/>
  <c r="Z22" i="28"/>
  <c r="Y22" i="28"/>
  <c r="AA39" i="28"/>
  <c r="Z39" i="28"/>
  <c r="Y39" i="28"/>
  <c r="AA86" i="28"/>
  <c r="Z86" i="28"/>
  <c r="Y86" i="28"/>
  <c r="AA85" i="28"/>
  <c r="Z85" i="28"/>
  <c r="Y85" i="28"/>
  <c r="AA110" i="28"/>
  <c r="Z110" i="28"/>
  <c r="Y110" i="28"/>
  <c r="AA54" i="28"/>
  <c r="Z54" i="28"/>
  <c r="Y54" i="28"/>
  <c r="AA38" i="28"/>
  <c r="Z38" i="28"/>
  <c r="Y38" i="28"/>
  <c r="AA21" i="28"/>
  <c r="Z21" i="28"/>
  <c r="Y21" i="28"/>
  <c r="AA99" i="28"/>
  <c r="Z99" i="28"/>
  <c r="Y99" i="28"/>
  <c r="AA97" i="28"/>
  <c r="Z97" i="28"/>
  <c r="Y97" i="28"/>
  <c r="AA53" i="28"/>
  <c r="Z53" i="28"/>
  <c r="Y53" i="28"/>
  <c r="AA20" i="28"/>
  <c r="Z20" i="28"/>
  <c r="Y20" i="28"/>
  <c r="AA72" i="28"/>
  <c r="Z72" i="28"/>
  <c r="Y72" i="28"/>
  <c r="AA52" i="28"/>
  <c r="Z52" i="28"/>
  <c r="Y52" i="28"/>
  <c r="AA37" i="28"/>
  <c r="Z37" i="28"/>
  <c r="Y37" i="28"/>
  <c r="AA107" i="28"/>
  <c r="Z107" i="28"/>
  <c r="Y107" i="28"/>
  <c r="AA106" i="28"/>
  <c r="Z106" i="28"/>
  <c r="Y106" i="28"/>
  <c r="AA19" i="28"/>
  <c r="Z19" i="28"/>
  <c r="Y19" i="28"/>
  <c r="AA9" i="28"/>
  <c r="Z9" i="28"/>
  <c r="Y9" i="28"/>
  <c r="AA7" i="28"/>
  <c r="Z7" i="28"/>
  <c r="Y7" i="28"/>
  <c r="AA11" i="28"/>
  <c r="Z11" i="28"/>
  <c r="Y11" i="28"/>
  <c r="AA51" i="28"/>
  <c r="Z51" i="28"/>
  <c r="Y51" i="28"/>
  <c r="AA98" i="28"/>
  <c r="Z98" i="28"/>
  <c r="Y98" i="28"/>
  <c r="AA69" i="28"/>
  <c r="Z69" i="28"/>
  <c r="Y69" i="28"/>
  <c r="AA18" i="28"/>
  <c r="Z18" i="28"/>
  <c r="Y18" i="28"/>
  <c r="AA36" i="28"/>
  <c r="Z36" i="28"/>
  <c r="Y36" i="28"/>
  <c r="AA50" i="28"/>
  <c r="Z50" i="28"/>
  <c r="Y50" i="28"/>
  <c r="AA5" i="28"/>
  <c r="Z5" i="28"/>
  <c r="Y5" i="28"/>
  <c r="AA17" i="28"/>
  <c r="Z17" i="28"/>
  <c r="Y17" i="28"/>
  <c r="AA35" i="28"/>
  <c r="Z35" i="28"/>
  <c r="Y35" i="28"/>
  <c r="AA95" i="28"/>
  <c r="Z95" i="28"/>
  <c r="Y95" i="28"/>
  <c r="AA16" i="28"/>
  <c r="Z16" i="28"/>
  <c r="Y16" i="28"/>
  <c r="AA111" i="28"/>
  <c r="Z111" i="28"/>
  <c r="Y111" i="28"/>
  <c r="AA109" i="28"/>
  <c r="Z109" i="28"/>
  <c r="Y109" i="28"/>
  <c r="AA65" i="28"/>
  <c r="Z65" i="28"/>
  <c r="Y65" i="28"/>
  <c r="AA49" i="28"/>
  <c r="Z49" i="28"/>
  <c r="Y49" i="28"/>
  <c r="AA34" i="28"/>
  <c r="Z34" i="28"/>
  <c r="Y34" i="28"/>
  <c r="AA84" i="28"/>
  <c r="Z84" i="28"/>
  <c r="Y84" i="28"/>
  <c r="AA108" i="28"/>
  <c r="Z108" i="28"/>
  <c r="Y108" i="28"/>
  <c r="AA15" i="28"/>
  <c r="Z15" i="28"/>
  <c r="Y15" i="28"/>
  <c r="AA33" i="28"/>
  <c r="Z33" i="28"/>
  <c r="Y33" i="28"/>
  <c r="AA75" i="28"/>
  <c r="Z75" i="28"/>
  <c r="Y75" i="28"/>
  <c r="AA14" i="28"/>
  <c r="Z14" i="28"/>
  <c r="Y14" i="28"/>
  <c r="AA73" i="28"/>
  <c r="Z73" i="28"/>
  <c r="Y73" i="28"/>
  <c r="AA83" i="28"/>
  <c r="Z83" i="28"/>
  <c r="Y83" i="28"/>
  <c r="AA77" i="28"/>
  <c r="Z77" i="28"/>
  <c r="Y77" i="28"/>
  <c r="AA76" i="28"/>
  <c r="Z76" i="28"/>
  <c r="Y76" i="28"/>
  <c r="AA74" i="28"/>
  <c r="Z74" i="28"/>
  <c r="Y74" i="28"/>
  <c r="AA78" i="28"/>
  <c r="Z78" i="28"/>
  <c r="Y78" i="28"/>
  <c r="AA32" i="28"/>
  <c r="Z32" i="28"/>
  <c r="Y32" i="28"/>
  <c r="AA13" i="28"/>
  <c r="Z13" i="28"/>
  <c r="Y13" i="28"/>
  <c r="AA48" i="28"/>
  <c r="Z48" i="28"/>
  <c r="Y48" i="28"/>
  <c r="AA82" i="28"/>
  <c r="Z82" i="28"/>
  <c r="Y82" i="28"/>
  <c r="R459" i="28"/>
  <c r="Q459" i="28"/>
  <c r="X459" i="27"/>
  <c r="W459" i="27"/>
  <c r="V459" i="27"/>
  <c r="U459" i="27"/>
  <c r="T459" i="27"/>
  <c r="S459" i="27"/>
  <c r="B459" i="27"/>
  <c r="AA458" i="27"/>
  <c r="Z458" i="27"/>
  <c r="Y458" i="27"/>
  <c r="AA457" i="27"/>
  <c r="Z457" i="27"/>
  <c r="Y457" i="27"/>
  <c r="AA456" i="27"/>
  <c r="Z456" i="27"/>
  <c r="Y456" i="27"/>
  <c r="AA455" i="27"/>
  <c r="Z455" i="27"/>
  <c r="Y455" i="27"/>
  <c r="AA454" i="27"/>
  <c r="Z454" i="27"/>
  <c r="Y454" i="27"/>
  <c r="AA453" i="27"/>
  <c r="Z453" i="27"/>
  <c r="Y453" i="27"/>
  <c r="AA452" i="27"/>
  <c r="Z452" i="27"/>
  <c r="Y452" i="27"/>
  <c r="AA451" i="27"/>
  <c r="Z451" i="27"/>
  <c r="Y451" i="27"/>
  <c r="AA450" i="27"/>
  <c r="Z450" i="27"/>
  <c r="Y450" i="27"/>
  <c r="AA449" i="27"/>
  <c r="Z449" i="27"/>
  <c r="Y449" i="27"/>
  <c r="AA448" i="27"/>
  <c r="Z448" i="27"/>
  <c r="Y448" i="27"/>
  <c r="AA447" i="27"/>
  <c r="Z447" i="27"/>
  <c r="Y447" i="27"/>
  <c r="AA446" i="27"/>
  <c r="Z446" i="27"/>
  <c r="Y446" i="27"/>
  <c r="AA445" i="27"/>
  <c r="Z445" i="27"/>
  <c r="Y445" i="27"/>
  <c r="AA444" i="27"/>
  <c r="Z444" i="27"/>
  <c r="Y444" i="27"/>
  <c r="AA443" i="27"/>
  <c r="Z443" i="27"/>
  <c r="Y443" i="27"/>
  <c r="AA442" i="27"/>
  <c r="Z442" i="27"/>
  <c r="Y442" i="27"/>
  <c r="AA441" i="27"/>
  <c r="Z441" i="27"/>
  <c r="Y441" i="27"/>
  <c r="AA440" i="27"/>
  <c r="Z440" i="27"/>
  <c r="Y440" i="27"/>
  <c r="AA439" i="27"/>
  <c r="Z439" i="27"/>
  <c r="Y439" i="27"/>
  <c r="AA438" i="27"/>
  <c r="Z438" i="27"/>
  <c r="Y438" i="27"/>
  <c r="AA437" i="27"/>
  <c r="Z437" i="27"/>
  <c r="Y437" i="27"/>
  <c r="AA436" i="27"/>
  <c r="Z436" i="27"/>
  <c r="Y436" i="27"/>
  <c r="AA435" i="27"/>
  <c r="Z435" i="27"/>
  <c r="Y435" i="27"/>
  <c r="AA434" i="27"/>
  <c r="Z434" i="27"/>
  <c r="Y434" i="27"/>
  <c r="AA433" i="27"/>
  <c r="Z433" i="27"/>
  <c r="Y433" i="27"/>
  <c r="AA432" i="27"/>
  <c r="Z432" i="27"/>
  <c r="Y432" i="27"/>
  <c r="AA431" i="27"/>
  <c r="Z431" i="27"/>
  <c r="Y431" i="27"/>
  <c r="AA430" i="27"/>
  <c r="Z430" i="27"/>
  <c r="Y430" i="27"/>
  <c r="AA429" i="27"/>
  <c r="Z429" i="27"/>
  <c r="Y429" i="27"/>
  <c r="AA428" i="27"/>
  <c r="Z428" i="27"/>
  <c r="Y428" i="27"/>
  <c r="AA427" i="27"/>
  <c r="Z427" i="27"/>
  <c r="Y427" i="27"/>
  <c r="AA426" i="27"/>
  <c r="Z426" i="27"/>
  <c r="Y426" i="27"/>
  <c r="AA425" i="27"/>
  <c r="Z425" i="27"/>
  <c r="Y425" i="27"/>
  <c r="AA424" i="27"/>
  <c r="Z424" i="27"/>
  <c r="Y424" i="27"/>
  <c r="AA423" i="27"/>
  <c r="Z423" i="27"/>
  <c r="Y423" i="27"/>
  <c r="AA422" i="27"/>
  <c r="Z422" i="27"/>
  <c r="Y422" i="27"/>
  <c r="AA421" i="27"/>
  <c r="Z421" i="27"/>
  <c r="Y421" i="27"/>
  <c r="AA419" i="27"/>
  <c r="Z419" i="27"/>
  <c r="Y419" i="27"/>
  <c r="AA418" i="27"/>
  <c r="Z418" i="27"/>
  <c r="Y418" i="27"/>
  <c r="AA417" i="27"/>
  <c r="Z417" i="27"/>
  <c r="Y417" i="27"/>
  <c r="AA416" i="27"/>
  <c r="Z416" i="27"/>
  <c r="Y416" i="27"/>
  <c r="AA415" i="27"/>
  <c r="Z415" i="27"/>
  <c r="Y415" i="27"/>
  <c r="AA414" i="27"/>
  <c r="Z414" i="27"/>
  <c r="Y414" i="27"/>
  <c r="AA413" i="27"/>
  <c r="Z413" i="27"/>
  <c r="Y413" i="27"/>
  <c r="AA412" i="27"/>
  <c r="Z412" i="27"/>
  <c r="Y412" i="27"/>
  <c r="AA411" i="27"/>
  <c r="Z411" i="27"/>
  <c r="Y411" i="27"/>
  <c r="AA410" i="27"/>
  <c r="Z410" i="27"/>
  <c r="Y410" i="27"/>
  <c r="AA409" i="27"/>
  <c r="Z409" i="27"/>
  <c r="Y409" i="27"/>
  <c r="AA408" i="27"/>
  <c r="Z408" i="27"/>
  <c r="Y408" i="27"/>
  <c r="AA407" i="27"/>
  <c r="Z407" i="27"/>
  <c r="Y407" i="27"/>
  <c r="AA406" i="27"/>
  <c r="Z406" i="27"/>
  <c r="Y406" i="27"/>
  <c r="AA405" i="27"/>
  <c r="Z405" i="27"/>
  <c r="Y405" i="27"/>
  <c r="AA404" i="27"/>
  <c r="Z404" i="27"/>
  <c r="Y404" i="27"/>
  <c r="AA403" i="27"/>
  <c r="Z403" i="27"/>
  <c r="Y403" i="27"/>
  <c r="AA402" i="27"/>
  <c r="Z402" i="27"/>
  <c r="Y402" i="27"/>
  <c r="AA401" i="27"/>
  <c r="Z401" i="27"/>
  <c r="Y401" i="27"/>
  <c r="AA400" i="27"/>
  <c r="Z400" i="27"/>
  <c r="Y400" i="27"/>
  <c r="AA399" i="27"/>
  <c r="Z399" i="27"/>
  <c r="Y399" i="27"/>
  <c r="AA398" i="27"/>
  <c r="Z398" i="27"/>
  <c r="Y398" i="27"/>
  <c r="AA397" i="27"/>
  <c r="Z397" i="27"/>
  <c r="Y397" i="27"/>
  <c r="AA396" i="27"/>
  <c r="Z396" i="27"/>
  <c r="Y396" i="27"/>
  <c r="AA395" i="27"/>
  <c r="Z395" i="27"/>
  <c r="Y395" i="27"/>
  <c r="AA394" i="27"/>
  <c r="Z394" i="27"/>
  <c r="Y394" i="27"/>
  <c r="AA393" i="27"/>
  <c r="Z393" i="27"/>
  <c r="Y393" i="27"/>
  <c r="AA392" i="27"/>
  <c r="Z392" i="27"/>
  <c r="Y392" i="27"/>
  <c r="AA391" i="27"/>
  <c r="Z391" i="27"/>
  <c r="Y391" i="27"/>
  <c r="AA390" i="27"/>
  <c r="Z390" i="27"/>
  <c r="Y390" i="27"/>
  <c r="AA389" i="27"/>
  <c r="Z389" i="27"/>
  <c r="Y389" i="27"/>
  <c r="AA388" i="27"/>
  <c r="Z388" i="27"/>
  <c r="Y388" i="27"/>
  <c r="AA387" i="27"/>
  <c r="Z387" i="27"/>
  <c r="Y387" i="27"/>
  <c r="AA386" i="27"/>
  <c r="Z386" i="27"/>
  <c r="Y386" i="27"/>
  <c r="AA385" i="27"/>
  <c r="Z385" i="27"/>
  <c r="Y385" i="27"/>
  <c r="AA384" i="27"/>
  <c r="Z384" i="27"/>
  <c r="Y384" i="27"/>
  <c r="AA383" i="27"/>
  <c r="Z383" i="27"/>
  <c r="Y383" i="27"/>
  <c r="AA382" i="27"/>
  <c r="Z382" i="27"/>
  <c r="Y382" i="27"/>
  <c r="AA381" i="27"/>
  <c r="Z381" i="27"/>
  <c r="Y381" i="27"/>
  <c r="AA380" i="27"/>
  <c r="Z380" i="27"/>
  <c r="Y380" i="27"/>
  <c r="AA379" i="27"/>
  <c r="Z379" i="27"/>
  <c r="Y379" i="27"/>
  <c r="AA378" i="27"/>
  <c r="Z378" i="27"/>
  <c r="Y378" i="27"/>
  <c r="AA377" i="27"/>
  <c r="Z377" i="27"/>
  <c r="Y377" i="27"/>
  <c r="AA376" i="27"/>
  <c r="Z376" i="27"/>
  <c r="Y376" i="27"/>
  <c r="AA375" i="27"/>
  <c r="Z375" i="27"/>
  <c r="Y375" i="27"/>
  <c r="AA374" i="27"/>
  <c r="Z374" i="27"/>
  <c r="Y374" i="27"/>
  <c r="AA373" i="27"/>
  <c r="Z373" i="27"/>
  <c r="Y373" i="27"/>
  <c r="AA372" i="27"/>
  <c r="Z372" i="27"/>
  <c r="Y372" i="27"/>
  <c r="AA371" i="27"/>
  <c r="Z371" i="27"/>
  <c r="Y371" i="27"/>
  <c r="AA370" i="27"/>
  <c r="Z370" i="27"/>
  <c r="Y370" i="27"/>
  <c r="AA369" i="27"/>
  <c r="Z369" i="27"/>
  <c r="Y369" i="27"/>
  <c r="AA368" i="27"/>
  <c r="Z368" i="27"/>
  <c r="Y368" i="27"/>
  <c r="AA367" i="27"/>
  <c r="Z367" i="27"/>
  <c r="Y367" i="27"/>
  <c r="AA366" i="27"/>
  <c r="Z366" i="27"/>
  <c r="Y366" i="27"/>
  <c r="AA365" i="27"/>
  <c r="Z365" i="27"/>
  <c r="Y365" i="27"/>
  <c r="AA364" i="27"/>
  <c r="Z364" i="27"/>
  <c r="Y364" i="27"/>
  <c r="AA363" i="27"/>
  <c r="Z363" i="27"/>
  <c r="Y363" i="27"/>
  <c r="AA362" i="27"/>
  <c r="Z362" i="27"/>
  <c r="Y362" i="27"/>
  <c r="AA361" i="27"/>
  <c r="Z361" i="27"/>
  <c r="Y361" i="27"/>
  <c r="AA359" i="27"/>
  <c r="Z359" i="27"/>
  <c r="Y359" i="27"/>
  <c r="AA358" i="27"/>
  <c r="Z358" i="27"/>
  <c r="Y358" i="27"/>
  <c r="AA357" i="27"/>
  <c r="Z357" i="27"/>
  <c r="Y357" i="27"/>
  <c r="AA356" i="27"/>
  <c r="Z356" i="27"/>
  <c r="Y356" i="27"/>
  <c r="AA355" i="27"/>
  <c r="Z355" i="27"/>
  <c r="Y355" i="27"/>
  <c r="AA354" i="27"/>
  <c r="Z354" i="27"/>
  <c r="Y354" i="27"/>
  <c r="AA353" i="27"/>
  <c r="Z353" i="27"/>
  <c r="Y353" i="27"/>
  <c r="AA352" i="27"/>
  <c r="Z352" i="27"/>
  <c r="Y352" i="27"/>
  <c r="AA351" i="27"/>
  <c r="Z351" i="27"/>
  <c r="Y351" i="27"/>
  <c r="AA350" i="27"/>
  <c r="Z350" i="27"/>
  <c r="Y350" i="27"/>
  <c r="AA349" i="27"/>
  <c r="Z349" i="27"/>
  <c r="Y349" i="27"/>
  <c r="AA348" i="27"/>
  <c r="Z348" i="27"/>
  <c r="Y348" i="27"/>
  <c r="AA347" i="27"/>
  <c r="Z347" i="27"/>
  <c r="Y347" i="27"/>
  <c r="AA346" i="27"/>
  <c r="Z346" i="27"/>
  <c r="Y346" i="27"/>
  <c r="AA345" i="27"/>
  <c r="Z345" i="27"/>
  <c r="Y345" i="27"/>
  <c r="AA344" i="27"/>
  <c r="Z344" i="27"/>
  <c r="Y344" i="27"/>
  <c r="AA343" i="27"/>
  <c r="Z343" i="27"/>
  <c r="Y343" i="27"/>
  <c r="AA342" i="27"/>
  <c r="Z342" i="27"/>
  <c r="Y342" i="27"/>
  <c r="AA341" i="27"/>
  <c r="Z341" i="27"/>
  <c r="Y341" i="27"/>
  <c r="AA340" i="27"/>
  <c r="Z340" i="27"/>
  <c r="Y340" i="27"/>
  <c r="AA339" i="27"/>
  <c r="Z339" i="27"/>
  <c r="Y339" i="27"/>
  <c r="AA338" i="27"/>
  <c r="Z338" i="27"/>
  <c r="Y338" i="27"/>
  <c r="AA337" i="27"/>
  <c r="Z337" i="27"/>
  <c r="Y337" i="27"/>
  <c r="AA336" i="27"/>
  <c r="Z336" i="27"/>
  <c r="Y336" i="27"/>
  <c r="AA335" i="27"/>
  <c r="Z335" i="27"/>
  <c r="Y335" i="27"/>
  <c r="AA334" i="27"/>
  <c r="Z334" i="27"/>
  <c r="Y334" i="27"/>
  <c r="AA333" i="27"/>
  <c r="Z333" i="27"/>
  <c r="Y333" i="27"/>
  <c r="AA332" i="27"/>
  <c r="Z332" i="27"/>
  <c r="Y332" i="27"/>
  <c r="AA331" i="27"/>
  <c r="Z331" i="27"/>
  <c r="Y331" i="27"/>
  <c r="AA330" i="27"/>
  <c r="Z330" i="27"/>
  <c r="Y330" i="27"/>
  <c r="AA329" i="27"/>
  <c r="Z329" i="27"/>
  <c r="Y329" i="27"/>
  <c r="AA328" i="27"/>
  <c r="Z328" i="27"/>
  <c r="Y328" i="27"/>
  <c r="AA327" i="27"/>
  <c r="Z327" i="27"/>
  <c r="Y327" i="27"/>
  <c r="AA326" i="27"/>
  <c r="Z326" i="27"/>
  <c r="Y326" i="27"/>
  <c r="AA325" i="27"/>
  <c r="Z325" i="27"/>
  <c r="Y325" i="27"/>
  <c r="AA324" i="27"/>
  <c r="Z324" i="27"/>
  <c r="Y324" i="27"/>
  <c r="AA323" i="27"/>
  <c r="Z323" i="27"/>
  <c r="Y323" i="27"/>
  <c r="AA322" i="27"/>
  <c r="Z322" i="27"/>
  <c r="Y322" i="27"/>
  <c r="AA321" i="27"/>
  <c r="Z321" i="27"/>
  <c r="Y321" i="27"/>
  <c r="AA320" i="27"/>
  <c r="Z320" i="27"/>
  <c r="Y320" i="27"/>
  <c r="AA319" i="27"/>
  <c r="Z319" i="27"/>
  <c r="Y319" i="27"/>
  <c r="AA318" i="27"/>
  <c r="Z318" i="27"/>
  <c r="Y318" i="27"/>
  <c r="AA317" i="27"/>
  <c r="Z317" i="27"/>
  <c r="Y317" i="27"/>
  <c r="AA316" i="27"/>
  <c r="Z316" i="27"/>
  <c r="Y316" i="27"/>
  <c r="AA315" i="27"/>
  <c r="Z315" i="27"/>
  <c r="Y315" i="27"/>
  <c r="AA314" i="27"/>
  <c r="Z314" i="27"/>
  <c r="Y314" i="27"/>
  <c r="AA313" i="27"/>
  <c r="Z313" i="27"/>
  <c r="Y313" i="27"/>
  <c r="AA312" i="27"/>
  <c r="Z312" i="27"/>
  <c r="Y312" i="27"/>
  <c r="AA311" i="27"/>
  <c r="Z311" i="27"/>
  <c r="Y311" i="27"/>
  <c r="AA310" i="27"/>
  <c r="Z310" i="27"/>
  <c r="Y310" i="27"/>
  <c r="AA309" i="27"/>
  <c r="Z309" i="27"/>
  <c r="Y309" i="27"/>
  <c r="AA308" i="27"/>
  <c r="Z308" i="27"/>
  <c r="Y308" i="27"/>
  <c r="AA307" i="27"/>
  <c r="Z307" i="27"/>
  <c r="Y307" i="27"/>
  <c r="AA306" i="27"/>
  <c r="Z306" i="27"/>
  <c r="Y306" i="27"/>
  <c r="AA305" i="27"/>
  <c r="Z305" i="27"/>
  <c r="Y305" i="27"/>
  <c r="AA304" i="27"/>
  <c r="Z304" i="27"/>
  <c r="Y304" i="27"/>
  <c r="AA303" i="27"/>
  <c r="Z303" i="27"/>
  <c r="Y303" i="27"/>
  <c r="AA302" i="27"/>
  <c r="Z302" i="27"/>
  <c r="Y302" i="27"/>
  <c r="AA301" i="27"/>
  <c r="Z301" i="27"/>
  <c r="Y301" i="27"/>
  <c r="AA300" i="27"/>
  <c r="Z300" i="27"/>
  <c r="Y300" i="27"/>
  <c r="AA299" i="27"/>
  <c r="Z299" i="27"/>
  <c r="Y299" i="27"/>
  <c r="AA298" i="27"/>
  <c r="Z298" i="27"/>
  <c r="Y298" i="27"/>
  <c r="AA297" i="27"/>
  <c r="Z297" i="27"/>
  <c r="Y297" i="27"/>
  <c r="AA296" i="27"/>
  <c r="Z296" i="27"/>
  <c r="Y296" i="27"/>
  <c r="AA295" i="27"/>
  <c r="Z295" i="27"/>
  <c r="Y295" i="27"/>
  <c r="AA294" i="27"/>
  <c r="Z294" i="27"/>
  <c r="Y294" i="27"/>
  <c r="AA293" i="27"/>
  <c r="Z293" i="27"/>
  <c r="Y293" i="27"/>
  <c r="AA292" i="27"/>
  <c r="Z292" i="27"/>
  <c r="Y292" i="27"/>
  <c r="AA291" i="27"/>
  <c r="Z291" i="27"/>
  <c r="Y291" i="27"/>
  <c r="AA290" i="27"/>
  <c r="Z290" i="27"/>
  <c r="Y290" i="27"/>
  <c r="AA289" i="27"/>
  <c r="Z289" i="27"/>
  <c r="Y289" i="27"/>
  <c r="AA288" i="27"/>
  <c r="Z288" i="27"/>
  <c r="Y288" i="27"/>
  <c r="AA287" i="27"/>
  <c r="Z287" i="27"/>
  <c r="Y287" i="27"/>
  <c r="AA286" i="27"/>
  <c r="Z286" i="27"/>
  <c r="Y286" i="27"/>
  <c r="AA285" i="27"/>
  <c r="Z285" i="27"/>
  <c r="Y285" i="27"/>
  <c r="AA284" i="27"/>
  <c r="Z284" i="27"/>
  <c r="Y284" i="27"/>
  <c r="AA283" i="27"/>
  <c r="Z283" i="27"/>
  <c r="Y283" i="27"/>
  <c r="AA282" i="27"/>
  <c r="Z282" i="27"/>
  <c r="Y282" i="27"/>
  <c r="AA281" i="27"/>
  <c r="Z281" i="27"/>
  <c r="Y281" i="27"/>
  <c r="AA280" i="27"/>
  <c r="Z280" i="27"/>
  <c r="Y280" i="27"/>
  <c r="AA279" i="27"/>
  <c r="Z279" i="27"/>
  <c r="Y279" i="27"/>
  <c r="AA278" i="27"/>
  <c r="Z278" i="27"/>
  <c r="Y278" i="27"/>
  <c r="AA277" i="27"/>
  <c r="Z277" i="27"/>
  <c r="Y277" i="27"/>
  <c r="AA276" i="27"/>
  <c r="Z276" i="27"/>
  <c r="Y276" i="27"/>
  <c r="AA275" i="27"/>
  <c r="Z275" i="27"/>
  <c r="Y275" i="27"/>
  <c r="AA274" i="27"/>
  <c r="Z274" i="27"/>
  <c r="Y274" i="27"/>
  <c r="AA273" i="27"/>
  <c r="Z273" i="27"/>
  <c r="Y273" i="27"/>
  <c r="AA272" i="27"/>
  <c r="Z272" i="27"/>
  <c r="Y272" i="27"/>
  <c r="AA271" i="27"/>
  <c r="Z271" i="27"/>
  <c r="Y271" i="27"/>
  <c r="AA270" i="27"/>
  <c r="Z270" i="27"/>
  <c r="Y270" i="27"/>
  <c r="AA269" i="27"/>
  <c r="Z269" i="27"/>
  <c r="Y269" i="27"/>
  <c r="AA268" i="27"/>
  <c r="Z268" i="27"/>
  <c r="Y268" i="27"/>
  <c r="AA267" i="27"/>
  <c r="Z267" i="27"/>
  <c r="Y267" i="27"/>
  <c r="AA266" i="27"/>
  <c r="Z266" i="27"/>
  <c r="Y266" i="27"/>
  <c r="AA265" i="27"/>
  <c r="Z265" i="27"/>
  <c r="Y265" i="27"/>
  <c r="AA264" i="27"/>
  <c r="Z264" i="27"/>
  <c r="Y264" i="27"/>
  <c r="AA263" i="27"/>
  <c r="Z263" i="27"/>
  <c r="Y263" i="27"/>
  <c r="AA262" i="27"/>
  <c r="Z262" i="27"/>
  <c r="Y262" i="27"/>
  <c r="AA261" i="27"/>
  <c r="Z261" i="27"/>
  <c r="Y261" i="27"/>
  <c r="AA260" i="27"/>
  <c r="Z260" i="27"/>
  <c r="Y260" i="27"/>
  <c r="AA259" i="27"/>
  <c r="Z259" i="27"/>
  <c r="Y259" i="27"/>
  <c r="AA258" i="27"/>
  <c r="Z258" i="27"/>
  <c r="Y258" i="27"/>
  <c r="AA257" i="27"/>
  <c r="Z257" i="27"/>
  <c r="Y257" i="27"/>
  <c r="AA256" i="27"/>
  <c r="Z256" i="27"/>
  <c r="Y256" i="27"/>
  <c r="AA255" i="27"/>
  <c r="Z255" i="27"/>
  <c r="Y255" i="27"/>
  <c r="AA254" i="27"/>
  <c r="Z254" i="27"/>
  <c r="Y254" i="27"/>
  <c r="AA253" i="27"/>
  <c r="Z253" i="27"/>
  <c r="Y253" i="27"/>
  <c r="AA252" i="27"/>
  <c r="Z252" i="27"/>
  <c r="Y252" i="27"/>
  <c r="AA251" i="27"/>
  <c r="Z251" i="27"/>
  <c r="Y251" i="27"/>
  <c r="AA250" i="27"/>
  <c r="Z250" i="27"/>
  <c r="Y250" i="27"/>
  <c r="AA249" i="27"/>
  <c r="Z249" i="27"/>
  <c r="Y249" i="27"/>
  <c r="AA248" i="27"/>
  <c r="Z248" i="27"/>
  <c r="Y248" i="27"/>
  <c r="AA247" i="27"/>
  <c r="Z247" i="27"/>
  <c r="Y247" i="27"/>
  <c r="AA246" i="27"/>
  <c r="Z246" i="27"/>
  <c r="Y246" i="27"/>
  <c r="AA245" i="27"/>
  <c r="Z245" i="27"/>
  <c r="Y245" i="27"/>
  <c r="AA244" i="27"/>
  <c r="Z244" i="27"/>
  <c r="Y244" i="27"/>
  <c r="AA243" i="27"/>
  <c r="Z243" i="27"/>
  <c r="Y243" i="27"/>
  <c r="AA242" i="27"/>
  <c r="Z242" i="27"/>
  <c r="Y242" i="27"/>
  <c r="AA241" i="27"/>
  <c r="Z241" i="27"/>
  <c r="Y241" i="27"/>
  <c r="AA240" i="27"/>
  <c r="Z240" i="27"/>
  <c r="Y240" i="27"/>
  <c r="AA239" i="27"/>
  <c r="Z239" i="27"/>
  <c r="Y239" i="27"/>
  <c r="AA238" i="27"/>
  <c r="Z238" i="27"/>
  <c r="Y238" i="27"/>
  <c r="AA237" i="27"/>
  <c r="Z237" i="27"/>
  <c r="Y237" i="27"/>
  <c r="AA236" i="27"/>
  <c r="Z236" i="27"/>
  <c r="Y236" i="27"/>
  <c r="AA235" i="27"/>
  <c r="Z235" i="27"/>
  <c r="Y235" i="27"/>
  <c r="AA234" i="27"/>
  <c r="Z234" i="27"/>
  <c r="Y234" i="27"/>
  <c r="AA233" i="27"/>
  <c r="Z233" i="27"/>
  <c r="Y233" i="27"/>
  <c r="AA232" i="27"/>
  <c r="Z232" i="27"/>
  <c r="Y232" i="27"/>
  <c r="AA231" i="27"/>
  <c r="Z231" i="27"/>
  <c r="Y231" i="27"/>
  <c r="AA230" i="27"/>
  <c r="Z230" i="27"/>
  <c r="Y230" i="27"/>
  <c r="AA229" i="27"/>
  <c r="Z229" i="27"/>
  <c r="Y229" i="27"/>
  <c r="AA228" i="27"/>
  <c r="Z228" i="27"/>
  <c r="Y228" i="27"/>
  <c r="AA227" i="27"/>
  <c r="Z227" i="27"/>
  <c r="Y227" i="27"/>
  <c r="AA226" i="27"/>
  <c r="Z226" i="27"/>
  <c r="Y226" i="27"/>
  <c r="AA225" i="27"/>
  <c r="Z225" i="27"/>
  <c r="Y225" i="27"/>
  <c r="AA224" i="27"/>
  <c r="Z224" i="27"/>
  <c r="Y224" i="27"/>
  <c r="AA223" i="27"/>
  <c r="Z223" i="27"/>
  <c r="Y223" i="27"/>
  <c r="AA222" i="27"/>
  <c r="Z222" i="27"/>
  <c r="Y222" i="27"/>
  <c r="AA221" i="27"/>
  <c r="Z221" i="27"/>
  <c r="Y221" i="27"/>
  <c r="AA220" i="27"/>
  <c r="Z220" i="27"/>
  <c r="Y220" i="27"/>
  <c r="AA219" i="27"/>
  <c r="Z219" i="27"/>
  <c r="Y219" i="27"/>
  <c r="AA218" i="27"/>
  <c r="Z218" i="27"/>
  <c r="Y218" i="27"/>
  <c r="AA217" i="27"/>
  <c r="Z217" i="27"/>
  <c r="Y217" i="27"/>
  <c r="AA216" i="27"/>
  <c r="Z216" i="27"/>
  <c r="Y216" i="27"/>
  <c r="AA215" i="27"/>
  <c r="Z215" i="27"/>
  <c r="Y215" i="27"/>
  <c r="AA214" i="27"/>
  <c r="Z214" i="27"/>
  <c r="Y214" i="27"/>
  <c r="AA213" i="27"/>
  <c r="Z213" i="27"/>
  <c r="Y213" i="27"/>
  <c r="AA212" i="27"/>
  <c r="Z212" i="27"/>
  <c r="Y212" i="27"/>
  <c r="AA211" i="27"/>
  <c r="Z211" i="27"/>
  <c r="Y211" i="27"/>
  <c r="AA210" i="27"/>
  <c r="Z210" i="27"/>
  <c r="Y210" i="27"/>
  <c r="AA209" i="27"/>
  <c r="Z209" i="27"/>
  <c r="Y209" i="27"/>
  <c r="AA208" i="27"/>
  <c r="Z208" i="27"/>
  <c r="Y208" i="27"/>
  <c r="AA207" i="27"/>
  <c r="Z207" i="27"/>
  <c r="Y207" i="27"/>
  <c r="AA206" i="27"/>
  <c r="Z206" i="27"/>
  <c r="Y206" i="27"/>
  <c r="AA205" i="27"/>
  <c r="Z205" i="27"/>
  <c r="Y205" i="27"/>
  <c r="AA204" i="27"/>
  <c r="Z204" i="27"/>
  <c r="Y204" i="27"/>
  <c r="AA203" i="27"/>
  <c r="Z203" i="27"/>
  <c r="Y203" i="27"/>
  <c r="AA202" i="27"/>
  <c r="Z202" i="27"/>
  <c r="Y202" i="27"/>
  <c r="AA201" i="27"/>
  <c r="Z201" i="27"/>
  <c r="Y201" i="27"/>
  <c r="AA200" i="27"/>
  <c r="Z200" i="27"/>
  <c r="Y200" i="27"/>
  <c r="AA199" i="27"/>
  <c r="Z199" i="27"/>
  <c r="Y199" i="27"/>
  <c r="AA198" i="27"/>
  <c r="Z198" i="27"/>
  <c r="Y198" i="27"/>
  <c r="AA197" i="27"/>
  <c r="Z197" i="27"/>
  <c r="Y197" i="27"/>
  <c r="AA196" i="27"/>
  <c r="Z196" i="27"/>
  <c r="Y196" i="27"/>
  <c r="AA195" i="27"/>
  <c r="Z195" i="27"/>
  <c r="Y195" i="27"/>
  <c r="AA194" i="27"/>
  <c r="Z194" i="27"/>
  <c r="Y194" i="27"/>
  <c r="AA193" i="27"/>
  <c r="Z193" i="27"/>
  <c r="Y193" i="27"/>
  <c r="AA192" i="27"/>
  <c r="Z192" i="27"/>
  <c r="Y192" i="27"/>
  <c r="AA191" i="27"/>
  <c r="Z191" i="27"/>
  <c r="Y191" i="27"/>
  <c r="AA190" i="27"/>
  <c r="Z190" i="27"/>
  <c r="Y190" i="27"/>
  <c r="AA189" i="27"/>
  <c r="Z189" i="27"/>
  <c r="Y189" i="27"/>
  <c r="AA188" i="27"/>
  <c r="Z188" i="27"/>
  <c r="Y188" i="27"/>
  <c r="AA187" i="27"/>
  <c r="Z187" i="27"/>
  <c r="Y187" i="27"/>
  <c r="AA186" i="27"/>
  <c r="Z186" i="27"/>
  <c r="Y186" i="27"/>
  <c r="AA185" i="27"/>
  <c r="Z185" i="27"/>
  <c r="Y185" i="27"/>
  <c r="AA184" i="27"/>
  <c r="Z184" i="27"/>
  <c r="Y184" i="27"/>
  <c r="AA183" i="27"/>
  <c r="Z183" i="27"/>
  <c r="Y183" i="27"/>
  <c r="AA182" i="27"/>
  <c r="Z182" i="27"/>
  <c r="Y182" i="27"/>
  <c r="AA181" i="27"/>
  <c r="Z181" i="27"/>
  <c r="Y181" i="27"/>
  <c r="AA180" i="27"/>
  <c r="Z180" i="27"/>
  <c r="Y180" i="27"/>
  <c r="AA179" i="27"/>
  <c r="Z179" i="27"/>
  <c r="Y179" i="27"/>
  <c r="AA178" i="27"/>
  <c r="Z178" i="27"/>
  <c r="Y178" i="27"/>
  <c r="AA177" i="27"/>
  <c r="Z177" i="27"/>
  <c r="Y177" i="27"/>
  <c r="AA176" i="27"/>
  <c r="Z176" i="27"/>
  <c r="Y176" i="27"/>
  <c r="AA175" i="27"/>
  <c r="Z175" i="27"/>
  <c r="Y175" i="27"/>
  <c r="AA174" i="27"/>
  <c r="Z174" i="27"/>
  <c r="Y174" i="27"/>
  <c r="AA173" i="27"/>
  <c r="Z173" i="27"/>
  <c r="Y173" i="27"/>
  <c r="AA172" i="27"/>
  <c r="Z172" i="27"/>
  <c r="Y172" i="27"/>
  <c r="AA171" i="27"/>
  <c r="Z171" i="27"/>
  <c r="Y171" i="27"/>
  <c r="AA170" i="27"/>
  <c r="Z170" i="27"/>
  <c r="Y170" i="27"/>
  <c r="AA169" i="27"/>
  <c r="Z169" i="27"/>
  <c r="Y169" i="27"/>
  <c r="AA168" i="27"/>
  <c r="Z168" i="27"/>
  <c r="Y168" i="27"/>
  <c r="AA167" i="27"/>
  <c r="Z167" i="27"/>
  <c r="Y167" i="27"/>
  <c r="AA166" i="27"/>
  <c r="Z166" i="27"/>
  <c r="Y166" i="27"/>
  <c r="AA165" i="27"/>
  <c r="Z165" i="27"/>
  <c r="Y165" i="27"/>
  <c r="AA164" i="27"/>
  <c r="Z164" i="27"/>
  <c r="Y164" i="27"/>
  <c r="AA163" i="27"/>
  <c r="Z163" i="27"/>
  <c r="Y163" i="27"/>
  <c r="AA162" i="27"/>
  <c r="Z162" i="27"/>
  <c r="Y162" i="27"/>
  <c r="AA161" i="27"/>
  <c r="Z161" i="27"/>
  <c r="Y161" i="27"/>
  <c r="AA160" i="27"/>
  <c r="Z160" i="27"/>
  <c r="Y160" i="27"/>
  <c r="AA159" i="27"/>
  <c r="Z159" i="27"/>
  <c r="Y159" i="27"/>
  <c r="AA158" i="27"/>
  <c r="Z158" i="27"/>
  <c r="Y158" i="27"/>
  <c r="AA157" i="27"/>
  <c r="Z157" i="27"/>
  <c r="Y157" i="27"/>
  <c r="AA156" i="27"/>
  <c r="Z156" i="27"/>
  <c r="Y156" i="27"/>
  <c r="AA155" i="27"/>
  <c r="Z155" i="27"/>
  <c r="Y155" i="27"/>
  <c r="AA154" i="27"/>
  <c r="Z154" i="27"/>
  <c r="Y154" i="27"/>
  <c r="AA153" i="27"/>
  <c r="Z153" i="27"/>
  <c r="Y153" i="27"/>
  <c r="AA152" i="27"/>
  <c r="Z152" i="27"/>
  <c r="Y152" i="27"/>
  <c r="AA151" i="27"/>
  <c r="Z151" i="27"/>
  <c r="Y151" i="27"/>
  <c r="AA150" i="27"/>
  <c r="Z150" i="27"/>
  <c r="Y150" i="27"/>
  <c r="AA149" i="27"/>
  <c r="Z149" i="27"/>
  <c r="Y149" i="27"/>
  <c r="AA148" i="27"/>
  <c r="Z148" i="27"/>
  <c r="Y148" i="27"/>
  <c r="AA147" i="27"/>
  <c r="Z147" i="27"/>
  <c r="Y147" i="27"/>
  <c r="AA146" i="27"/>
  <c r="Z146" i="27"/>
  <c r="Y146" i="27"/>
  <c r="AA145" i="27"/>
  <c r="Z145" i="27"/>
  <c r="Y145" i="27"/>
  <c r="AA144" i="27"/>
  <c r="Z144" i="27"/>
  <c r="Y144" i="27"/>
  <c r="AA143" i="27"/>
  <c r="Z143" i="27"/>
  <c r="Y143" i="27"/>
  <c r="AA142" i="27"/>
  <c r="Z142" i="27"/>
  <c r="Y142" i="27"/>
  <c r="AA141" i="27"/>
  <c r="Z141" i="27"/>
  <c r="Y141" i="27"/>
  <c r="AA140" i="27"/>
  <c r="Z140" i="27"/>
  <c r="Y140" i="27"/>
  <c r="AA139" i="27"/>
  <c r="Z139" i="27"/>
  <c r="Y139" i="27"/>
  <c r="AA138" i="27"/>
  <c r="Z138" i="27"/>
  <c r="Y138" i="27"/>
  <c r="AA137" i="27"/>
  <c r="Z137" i="27"/>
  <c r="Y137" i="27"/>
  <c r="AA136" i="27"/>
  <c r="Z136" i="27"/>
  <c r="Y136" i="27"/>
  <c r="AA135" i="27"/>
  <c r="Z135" i="27"/>
  <c r="Y135" i="27"/>
  <c r="AA134" i="27"/>
  <c r="Z134" i="27"/>
  <c r="Y134" i="27"/>
  <c r="AA133" i="27"/>
  <c r="Z133" i="27"/>
  <c r="Y133" i="27"/>
  <c r="AA132" i="27"/>
  <c r="Z132" i="27"/>
  <c r="Y132" i="27"/>
  <c r="AA131" i="27"/>
  <c r="Z131" i="27"/>
  <c r="Y131" i="27"/>
  <c r="AA130" i="27"/>
  <c r="Z130" i="27"/>
  <c r="Y130" i="27"/>
  <c r="AA129" i="27"/>
  <c r="Z129" i="27"/>
  <c r="Y129" i="27"/>
  <c r="AA128" i="27"/>
  <c r="Z128" i="27"/>
  <c r="Y128" i="27"/>
  <c r="AA127" i="27"/>
  <c r="Z127" i="27"/>
  <c r="Y127" i="27"/>
  <c r="AA126" i="27"/>
  <c r="Z126" i="27"/>
  <c r="Y126" i="27"/>
  <c r="AA125" i="27"/>
  <c r="Z125" i="27"/>
  <c r="Y125" i="27"/>
  <c r="AA124" i="27"/>
  <c r="Z124" i="27"/>
  <c r="Y124" i="27"/>
  <c r="AA123" i="27"/>
  <c r="Z123" i="27"/>
  <c r="Y123" i="27"/>
  <c r="AA122" i="27"/>
  <c r="Z122" i="27"/>
  <c r="Y122" i="27"/>
  <c r="AA121" i="27"/>
  <c r="Z121" i="27"/>
  <c r="Y121" i="27"/>
  <c r="AA120" i="27"/>
  <c r="Z120" i="27"/>
  <c r="Y120" i="27"/>
  <c r="AA119" i="27"/>
  <c r="Z119" i="27"/>
  <c r="Y119" i="27"/>
  <c r="AA118" i="27"/>
  <c r="Z118" i="27"/>
  <c r="Y118" i="27"/>
  <c r="AA117" i="27"/>
  <c r="Z117" i="27"/>
  <c r="Y117" i="27"/>
  <c r="AA116" i="27"/>
  <c r="Z116" i="27"/>
  <c r="Y116" i="27"/>
  <c r="AA115" i="27"/>
  <c r="Z115" i="27"/>
  <c r="Y115" i="27"/>
  <c r="AA114" i="27"/>
  <c r="Z114" i="27"/>
  <c r="Y114" i="27"/>
  <c r="AA113" i="27"/>
  <c r="Z113" i="27"/>
  <c r="Y113" i="27"/>
  <c r="AA112" i="27"/>
  <c r="Z112" i="27"/>
  <c r="Y112" i="27"/>
  <c r="AA111" i="27"/>
  <c r="Z111" i="27"/>
  <c r="Y111" i="27"/>
  <c r="AA110" i="27"/>
  <c r="Z110" i="27"/>
  <c r="Y110" i="27"/>
  <c r="AA109" i="27"/>
  <c r="Z109" i="27"/>
  <c r="Y109" i="27"/>
  <c r="AA108" i="27"/>
  <c r="Z108" i="27"/>
  <c r="Y108" i="27"/>
  <c r="AA107" i="27"/>
  <c r="Z107" i="27"/>
  <c r="Y107" i="27"/>
  <c r="AA106" i="27"/>
  <c r="Z106" i="27"/>
  <c r="Y106" i="27"/>
  <c r="AA105" i="27"/>
  <c r="Z105" i="27"/>
  <c r="Y105" i="27"/>
  <c r="AA104" i="27"/>
  <c r="Z104" i="27"/>
  <c r="Y104" i="27"/>
  <c r="AA103" i="27"/>
  <c r="Z103" i="27"/>
  <c r="Y103" i="27"/>
  <c r="AA102" i="27"/>
  <c r="Z102" i="27"/>
  <c r="Y102" i="27"/>
  <c r="AA101" i="27"/>
  <c r="Z101" i="27"/>
  <c r="Y101" i="27"/>
  <c r="AA100" i="27"/>
  <c r="Z100" i="27"/>
  <c r="Y100" i="27"/>
  <c r="AA99" i="27"/>
  <c r="Z99" i="27"/>
  <c r="Y99" i="27"/>
  <c r="AA98" i="27"/>
  <c r="Z98" i="27"/>
  <c r="Y98" i="27"/>
  <c r="AA97" i="27"/>
  <c r="Z97" i="27"/>
  <c r="Y97" i="27"/>
  <c r="AA96" i="27"/>
  <c r="Z96" i="27"/>
  <c r="Y96" i="27"/>
  <c r="AA95" i="27"/>
  <c r="Z95" i="27"/>
  <c r="Y95" i="27"/>
  <c r="AA94" i="27"/>
  <c r="Z94" i="27"/>
  <c r="Y94" i="27"/>
  <c r="AA93" i="27"/>
  <c r="Z93" i="27"/>
  <c r="Y93" i="27"/>
  <c r="AA92" i="27"/>
  <c r="Z92" i="27"/>
  <c r="Y92" i="27"/>
  <c r="AA91" i="27"/>
  <c r="Z91" i="27"/>
  <c r="Y91" i="27"/>
  <c r="AA90" i="27"/>
  <c r="Z90" i="27"/>
  <c r="Y90" i="27"/>
  <c r="AA89" i="27"/>
  <c r="Z89" i="27"/>
  <c r="Y89" i="27"/>
  <c r="AA88" i="27"/>
  <c r="Z88" i="27"/>
  <c r="Y88" i="27"/>
  <c r="AA87" i="27"/>
  <c r="Z87" i="27"/>
  <c r="Y87" i="27"/>
  <c r="AA86" i="27"/>
  <c r="Z86" i="27"/>
  <c r="Y86" i="27"/>
  <c r="AA81" i="27"/>
  <c r="Z81" i="27"/>
  <c r="Y81" i="27"/>
  <c r="AA79" i="27"/>
  <c r="Z79" i="27"/>
  <c r="Y79" i="27"/>
  <c r="AA77" i="27"/>
  <c r="Z77" i="27"/>
  <c r="Y77" i="27"/>
  <c r="AA69" i="27"/>
  <c r="Z69" i="27"/>
  <c r="Y69" i="27"/>
  <c r="AA67" i="27"/>
  <c r="Z67" i="27"/>
  <c r="Y67" i="27"/>
  <c r="AA66" i="27"/>
  <c r="Z66" i="27"/>
  <c r="Y66" i="27"/>
  <c r="AA65" i="27"/>
  <c r="Z65" i="27"/>
  <c r="Y65" i="27"/>
  <c r="AA64" i="27"/>
  <c r="Z64" i="27"/>
  <c r="Y64" i="27"/>
  <c r="AA63" i="27"/>
  <c r="Z63" i="27"/>
  <c r="Y63" i="27"/>
  <c r="AA62" i="27"/>
  <c r="Z62" i="27"/>
  <c r="Y62" i="27"/>
  <c r="AA61" i="27"/>
  <c r="Z61" i="27"/>
  <c r="Y61" i="27"/>
  <c r="AA60" i="27"/>
  <c r="Z60" i="27"/>
  <c r="Y60" i="27"/>
  <c r="AA59" i="27"/>
  <c r="Z59" i="27"/>
  <c r="Y59" i="27"/>
  <c r="AA58" i="27"/>
  <c r="Z58" i="27"/>
  <c r="Y58" i="27"/>
  <c r="AA57" i="27"/>
  <c r="Z57" i="27"/>
  <c r="Y57" i="27"/>
  <c r="AA56" i="27"/>
  <c r="Z56" i="27"/>
  <c r="Y56" i="27"/>
  <c r="AA55" i="27"/>
  <c r="Z55" i="27"/>
  <c r="Y55" i="27"/>
  <c r="AA54" i="27"/>
  <c r="Z54" i="27"/>
  <c r="Y54" i="27"/>
  <c r="AA53" i="27"/>
  <c r="Z53" i="27"/>
  <c r="Y53" i="27"/>
  <c r="AA49" i="27"/>
  <c r="Z49" i="27"/>
  <c r="Y49" i="27"/>
  <c r="AA48" i="27"/>
  <c r="Z48" i="27"/>
  <c r="Y48" i="27"/>
  <c r="AA47" i="27"/>
  <c r="Z47" i="27"/>
  <c r="Y47" i="27"/>
  <c r="AA46" i="27"/>
  <c r="Z46" i="27"/>
  <c r="Y46" i="27"/>
  <c r="AA45" i="27"/>
  <c r="Z45" i="27"/>
  <c r="Y45" i="27"/>
  <c r="AA44" i="27"/>
  <c r="Z44" i="27"/>
  <c r="Y44" i="27"/>
  <c r="AA43" i="27"/>
  <c r="Z43" i="27"/>
  <c r="Y43" i="27"/>
  <c r="AA42" i="27"/>
  <c r="Z42" i="27"/>
  <c r="Y42" i="27"/>
  <c r="AA41" i="27"/>
  <c r="Z41" i="27"/>
  <c r="Y41" i="27"/>
  <c r="AA40" i="27"/>
  <c r="Z40" i="27"/>
  <c r="Y40" i="27"/>
  <c r="AA39" i="27"/>
  <c r="Z39" i="27"/>
  <c r="Y39" i="27"/>
  <c r="AA38" i="27"/>
  <c r="Z38" i="27"/>
  <c r="Y38" i="27"/>
  <c r="AA37" i="27"/>
  <c r="Z37" i="27"/>
  <c r="Y37" i="27"/>
  <c r="AA36" i="27"/>
  <c r="Z36" i="27"/>
  <c r="Y36" i="27"/>
  <c r="AA35" i="27"/>
  <c r="Z35" i="27"/>
  <c r="Y35" i="27"/>
  <c r="AA34" i="27"/>
  <c r="Z34" i="27"/>
  <c r="Y34" i="27"/>
  <c r="AA33" i="27"/>
  <c r="Z33" i="27"/>
  <c r="Y33" i="27"/>
  <c r="AA32" i="27"/>
  <c r="Z32" i="27"/>
  <c r="Y32" i="27"/>
  <c r="AA31" i="27"/>
  <c r="Z31" i="27"/>
  <c r="Y31" i="27"/>
  <c r="AA30" i="27"/>
  <c r="Z30" i="27"/>
  <c r="Y30" i="27"/>
  <c r="AA29" i="27"/>
  <c r="Z29" i="27"/>
  <c r="Y29" i="27"/>
  <c r="AA28" i="27"/>
  <c r="Z28" i="27"/>
  <c r="Y28" i="27"/>
  <c r="AA27" i="27"/>
  <c r="Z27" i="27"/>
  <c r="Y27" i="27"/>
  <c r="AA25" i="27"/>
  <c r="Z25" i="27"/>
  <c r="Y25" i="27"/>
  <c r="AA24" i="27"/>
  <c r="Z24" i="27"/>
  <c r="Y24" i="27"/>
  <c r="AA23" i="27"/>
  <c r="Z23" i="27"/>
  <c r="Y23" i="27"/>
  <c r="AA22" i="27"/>
  <c r="Z22" i="27"/>
  <c r="Y22" i="27"/>
  <c r="AA21" i="27"/>
  <c r="Z21" i="27"/>
  <c r="Y21" i="27"/>
  <c r="AA20" i="27"/>
  <c r="Z20" i="27"/>
  <c r="Y20" i="27"/>
  <c r="AA19" i="27"/>
  <c r="Z19" i="27"/>
  <c r="Y19" i="27"/>
  <c r="AA16" i="27"/>
  <c r="Z16" i="27"/>
  <c r="Y16" i="27"/>
  <c r="AA15" i="27"/>
  <c r="Z15" i="27"/>
  <c r="Y15" i="27"/>
  <c r="AA13" i="27"/>
  <c r="Z13" i="27"/>
  <c r="Y13" i="27"/>
  <c r="AA10" i="27"/>
  <c r="Z10" i="27"/>
  <c r="Y10" i="27"/>
  <c r="AA8" i="27"/>
  <c r="Z8" i="27"/>
  <c r="Y8" i="27"/>
  <c r="AA7" i="27"/>
  <c r="Z7" i="27"/>
  <c r="Y7" i="27"/>
  <c r="AA6" i="27"/>
  <c r="Z6" i="27"/>
  <c r="Y6" i="27"/>
  <c r="AA5" i="27"/>
  <c r="Z5" i="27"/>
  <c r="Y5" i="27"/>
  <c r="AA4" i="27"/>
  <c r="Z4" i="27"/>
  <c r="Y4" i="27"/>
  <c r="Q459" i="27"/>
  <c r="R459" i="27"/>
  <c r="H43" i="17"/>
  <c r="O19" i="17"/>
  <c r="O18" i="17"/>
  <c r="L6" i="25"/>
  <c r="M6" i="25"/>
  <c r="N6" i="25"/>
  <c r="K6" i="25"/>
  <c r="K7" i="25"/>
  <c r="L7" i="25"/>
  <c r="M7" i="25"/>
  <c r="N7" i="25"/>
  <c r="K8" i="25"/>
  <c r="L8" i="25"/>
  <c r="M8" i="25"/>
  <c r="N8" i="25"/>
  <c r="K9" i="25"/>
  <c r="L9" i="25"/>
  <c r="M9" i="25"/>
  <c r="N9" i="25"/>
  <c r="K10" i="25"/>
  <c r="L10" i="25"/>
  <c r="M10" i="25"/>
  <c r="N10" i="25"/>
  <c r="K11" i="25"/>
  <c r="L11" i="25"/>
  <c r="M11" i="25"/>
  <c r="N11" i="25"/>
  <c r="K12" i="25"/>
  <c r="L12" i="25"/>
  <c r="M12" i="25"/>
  <c r="N12" i="25"/>
  <c r="K13" i="25"/>
  <c r="L13" i="25"/>
  <c r="M13" i="25"/>
  <c r="N13" i="25"/>
  <c r="K14" i="25"/>
  <c r="L14" i="25"/>
  <c r="M14" i="25"/>
  <c r="N14" i="25"/>
  <c r="K15" i="25"/>
  <c r="L15" i="25"/>
  <c r="M15" i="25"/>
  <c r="N15" i="25"/>
  <c r="K16" i="25"/>
  <c r="L16" i="25"/>
  <c r="M16" i="25"/>
  <c r="N16" i="25"/>
  <c r="K17" i="25"/>
  <c r="L17" i="25"/>
  <c r="M17" i="25"/>
  <c r="N17" i="25"/>
  <c r="K18" i="25"/>
  <c r="L18" i="25"/>
  <c r="M18" i="25"/>
  <c r="N18" i="25"/>
  <c r="K19" i="25"/>
  <c r="L19" i="25"/>
  <c r="M19" i="25"/>
  <c r="N19" i="25"/>
  <c r="K20" i="25"/>
  <c r="L20" i="25"/>
  <c r="M20" i="25"/>
  <c r="N20" i="25"/>
  <c r="K21" i="25"/>
  <c r="L21" i="25"/>
  <c r="M21" i="25"/>
  <c r="N21" i="25"/>
  <c r="K22" i="25"/>
  <c r="L22" i="25"/>
  <c r="M22" i="25"/>
  <c r="N22" i="25"/>
  <c r="K23" i="25"/>
  <c r="L23" i="25"/>
  <c r="M23" i="25"/>
  <c r="N23" i="25"/>
  <c r="K24" i="25"/>
  <c r="L24" i="25"/>
  <c r="M24" i="25"/>
  <c r="N24" i="25"/>
  <c r="K25" i="25"/>
  <c r="L25" i="25"/>
  <c r="M25" i="25"/>
  <c r="N25" i="25"/>
  <c r="K26" i="25"/>
  <c r="L26" i="25"/>
  <c r="M26" i="25"/>
  <c r="N26" i="25"/>
  <c r="K27" i="25"/>
  <c r="L27" i="25"/>
  <c r="M27" i="25"/>
  <c r="N27" i="25"/>
  <c r="K28" i="25"/>
  <c r="L28" i="25"/>
  <c r="M28" i="25"/>
  <c r="N28" i="25"/>
  <c r="K29" i="25"/>
  <c r="L29" i="25"/>
  <c r="M29" i="25"/>
  <c r="N29" i="25"/>
  <c r="K30" i="25"/>
  <c r="L30" i="25"/>
  <c r="M30" i="25"/>
  <c r="N30" i="25"/>
  <c r="K31" i="25"/>
  <c r="L31" i="25"/>
  <c r="M31" i="25"/>
  <c r="N31" i="25"/>
  <c r="K32" i="25"/>
  <c r="L32" i="25"/>
  <c r="M32" i="25"/>
  <c r="N32" i="25"/>
  <c r="K33" i="25"/>
  <c r="L33" i="25"/>
  <c r="M33" i="25"/>
  <c r="N33" i="25"/>
  <c r="K34" i="25"/>
  <c r="L34" i="25"/>
  <c r="M34" i="25"/>
  <c r="N34" i="25"/>
  <c r="K35" i="25"/>
  <c r="L35" i="25"/>
  <c r="M35" i="25"/>
  <c r="N35" i="25"/>
  <c r="K36" i="25"/>
  <c r="L36" i="25"/>
  <c r="M36" i="25"/>
  <c r="N36" i="25"/>
  <c r="K37" i="25"/>
  <c r="L37" i="25"/>
  <c r="M37" i="25"/>
  <c r="N37" i="25"/>
  <c r="K38" i="25"/>
  <c r="L38" i="25"/>
  <c r="M38" i="25"/>
  <c r="N38" i="25"/>
  <c r="K39" i="25"/>
  <c r="L39" i="25"/>
  <c r="M39" i="25"/>
  <c r="N39" i="25"/>
  <c r="K40" i="25"/>
  <c r="L40" i="25"/>
  <c r="M40" i="25"/>
  <c r="N40" i="25"/>
  <c r="K41" i="25"/>
  <c r="L41" i="25"/>
  <c r="M41" i="25"/>
  <c r="N41" i="25"/>
  <c r="K42" i="25"/>
  <c r="L42" i="25"/>
  <c r="M42" i="25"/>
  <c r="N42" i="25"/>
  <c r="K43" i="25"/>
  <c r="L43" i="25"/>
  <c r="M43" i="25"/>
  <c r="N43" i="25"/>
  <c r="F7" i="25"/>
  <c r="F8" i="25"/>
  <c r="F9" i="25"/>
  <c r="F12" i="25"/>
  <c r="F13" i="25"/>
  <c r="F14" i="25"/>
  <c r="F15" i="25"/>
  <c r="F17" i="25"/>
  <c r="F22" i="25"/>
  <c r="F24" i="25"/>
  <c r="F26" i="25"/>
  <c r="F29" i="25"/>
  <c r="F30" i="25"/>
  <c r="F34" i="25"/>
  <c r="F36" i="25"/>
  <c r="F37" i="25"/>
  <c r="F39" i="25"/>
  <c r="E17" i="25"/>
  <c r="B3" i="25"/>
  <c r="E5" i="17"/>
  <c r="G5" i="17" s="1"/>
  <c r="E12" i="17"/>
  <c r="G12" i="17" s="1"/>
  <c r="E39" i="17"/>
  <c r="G39" i="17" s="1"/>
  <c r="E19" i="17"/>
  <c r="G19" i="17" s="1"/>
  <c r="E21" i="17"/>
  <c r="G21" i="17" s="1"/>
  <c r="I21" i="17" s="1"/>
  <c r="E33" i="17"/>
  <c r="G33" i="17" s="1"/>
  <c r="I33" i="17" s="1"/>
  <c r="E31" i="17"/>
  <c r="G31" i="17" s="1"/>
  <c r="J31" i="17" s="1"/>
  <c r="E22" i="17"/>
  <c r="G22" i="17" s="1"/>
  <c r="I22" i="17" s="1"/>
  <c r="E36" i="17"/>
  <c r="G36" i="17" s="1"/>
  <c r="I36" i="17" s="1"/>
  <c r="E29" i="17"/>
  <c r="G29" i="17" s="1"/>
  <c r="I29" i="17" s="1"/>
  <c r="E37" i="17"/>
  <c r="G37" i="17" s="1"/>
  <c r="E9" i="17"/>
  <c r="G9" i="17" s="1"/>
  <c r="J9" i="17" s="1"/>
  <c r="E34" i="17"/>
  <c r="G34" i="17" s="1"/>
  <c r="J34" i="17" s="1"/>
  <c r="E30" i="17"/>
  <c r="G30" i="17" s="1"/>
  <c r="E11" i="17"/>
  <c r="G11" i="17" s="1"/>
  <c r="J11" i="17" s="1"/>
  <c r="E7" i="17"/>
  <c r="G7" i="17" s="1"/>
  <c r="E8" i="17"/>
  <c r="G8" i="17" s="1"/>
  <c r="J8" i="17" s="1"/>
  <c r="E28" i="17"/>
  <c r="G28" i="17" s="1"/>
  <c r="E10" i="17"/>
  <c r="G10" i="17" s="1"/>
  <c r="E16" i="17"/>
  <c r="E6" i="17"/>
  <c r="G6" i="17" s="1"/>
  <c r="J6" i="17" s="1"/>
  <c r="E18" i="17"/>
  <c r="G18" i="17" s="1"/>
  <c r="I18" i="17" s="1"/>
  <c r="E17" i="17"/>
  <c r="G17" i="17" s="1"/>
  <c r="E24" i="17"/>
  <c r="G24" i="17" s="1"/>
  <c r="E26" i="17"/>
  <c r="G26" i="17" s="1"/>
  <c r="E23" i="17"/>
  <c r="G23" i="17" s="1"/>
  <c r="E32" i="17"/>
  <c r="G32" i="17" s="1"/>
  <c r="E25" i="17"/>
  <c r="G25" i="17" s="1"/>
  <c r="E15" i="17"/>
  <c r="G15" i="17" s="1"/>
  <c r="I15" i="17" s="1"/>
  <c r="E13" i="17"/>
  <c r="G13" i="17" s="1"/>
  <c r="E20" i="17"/>
  <c r="G20" i="17" s="1"/>
  <c r="I20" i="17" s="1"/>
  <c r="E42" i="17"/>
  <c r="G42" i="17" s="1"/>
  <c r="E27" i="17"/>
  <c r="G27" i="17" s="1"/>
  <c r="E35" i="17"/>
  <c r="G35" i="17" s="1"/>
  <c r="E14" i="17"/>
  <c r="G14" i="17" s="1"/>
  <c r="F11" i="25"/>
  <c r="F16" i="25"/>
  <c r="E16" i="25"/>
  <c r="E24" i="25"/>
  <c r="E22" i="25"/>
  <c r="I22" i="25" s="1"/>
  <c r="F43" i="17"/>
  <c r="O39" i="17"/>
  <c r="O20" i="17"/>
  <c r="O28" i="17"/>
  <c r="O26" i="17"/>
  <c r="O24" i="17"/>
  <c r="O16" i="17"/>
  <c r="O27" i="17"/>
  <c r="O8" i="17"/>
  <c r="O33" i="17"/>
  <c r="O41" i="17"/>
  <c r="O21" i="17"/>
  <c r="O42" i="17"/>
  <c r="O32" i="17"/>
  <c r="O14" i="17"/>
  <c r="O25" i="17"/>
  <c r="O15" i="17"/>
  <c r="O11" i="17"/>
  <c r="O5" i="17"/>
  <c r="O30" i="17"/>
  <c r="O34" i="17"/>
  <c r="O6" i="17"/>
  <c r="O10" i="17"/>
  <c r="O9" i="17"/>
  <c r="O23" i="17"/>
  <c r="O31" i="17"/>
  <c r="O7" i="17"/>
  <c r="O22" i="17"/>
  <c r="O35" i="17"/>
  <c r="O36" i="17"/>
  <c r="O37" i="17"/>
  <c r="O17" i="17"/>
  <c r="O29" i="17"/>
  <c r="O13" i="17"/>
  <c r="K30" i="17"/>
  <c r="U30" i="17" s="1"/>
  <c r="K35" i="17"/>
  <c r="U35" i="17" s="1"/>
  <c r="K39" i="17"/>
  <c r="U39" i="17" s="1"/>
  <c r="K13" i="17"/>
  <c r="Z13" i="17" s="1"/>
  <c r="K15" i="17"/>
  <c r="U15" i="17" s="1"/>
  <c r="K22" i="17"/>
  <c r="U22" i="17" s="1"/>
  <c r="K23" i="17"/>
  <c r="U23" i="17" s="1"/>
  <c r="K42" i="17"/>
  <c r="Z42" i="17" s="1"/>
  <c r="K8" i="17"/>
  <c r="K16" i="17"/>
  <c r="Z16" i="17" s="1"/>
  <c r="K34" i="17"/>
  <c r="Z34" i="17" s="1"/>
  <c r="K26" i="17"/>
  <c r="U26" i="17" s="1"/>
  <c r="K36" i="17"/>
  <c r="Z36" i="17" s="1"/>
  <c r="K7" i="17"/>
  <c r="Z7" i="17" s="1"/>
  <c r="K20" i="17"/>
  <c r="U20" i="17" s="1"/>
  <c r="K19" i="17"/>
  <c r="U19" i="17" s="1"/>
  <c r="K37" i="17"/>
  <c r="Z37" i="17" s="1"/>
  <c r="K32" i="17"/>
  <c r="U32" i="17" s="1"/>
  <c r="K18" i="17"/>
  <c r="Z18" i="17" s="1"/>
  <c r="K17" i="17"/>
  <c r="Z17" i="17" s="1"/>
  <c r="K33" i="17"/>
  <c r="Z33" i="17" s="1"/>
  <c r="K21" i="17"/>
  <c r="U21" i="17" s="1"/>
  <c r="K29" i="17"/>
  <c r="U29" i="17" s="1"/>
  <c r="K41" i="17"/>
  <c r="U41" i="17" s="1"/>
  <c r="K27" i="17"/>
  <c r="U27" i="17" s="1"/>
  <c r="K12" i="17"/>
  <c r="Z12" i="17" s="1"/>
  <c r="K14" i="17"/>
  <c r="Z14" i="17" s="1"/>
  <c r="K25" i="17"/>
  <c r="U25" i="17" s="1"/>
  <c r="K24" i="17"/>
  <c r="Z24" i="17" s="1"/>
  <c r="K6" i="17"/>
  <c r="Z6" i="17" s="1"/>
  <c r="K31" i="17"/>
  <c r="Z31" i="17" s="1"/>
  <c r="K11" i="17"/>
  <c r="U11" i="17" s="1"/>
  <c r="E41" i="17"/>
  <c r="G41" i="17" s="1"/>
  <c r="K10" i="17"/>
  <c r="Z10" i="17" s="1"/>
  <c r="K28" i="17"/>
  <c r="U28" i="17" s="1"/>
  <c r="K9" i="17"/>
  <c r="U9" i="17" s="1"/>
  <c r="O12" i="17"/>
  <c r="E8" i="20"/>
  <c r="E7" i="20"/>
  <c r="X10" i="17" l="1"/>
  <c r="X8" i="17"/>
  <c r="X6" i="17"/>
  <c r="X9" i="17"/>
  <c r="X38" i="17"/>
  <c r="X32" i="17"/>
  <c r="X36" i="17"/>
  <c r="X5" i="17"/>
  <c r="X41" i="17"/>
  <c r="X27" i="17"/>
  <c r="X13" i="17"/>
  <c r="X29" i="17"/>
  <c r="X30" i="17"/>
  <c r="X15" i="17"/>
  <c r="X7" i="17"/>
  <c r="X39" i="17"/>
  <c r="X42" i="17"/>
  <c r="X14" i="17"/>
  <c r="AI12" i="41"/>
  <c r="V12" i="41"/>
  <c r="I41" i="36"/>
  <c r="M41" i="36" s="1"/>
  <c r="M2" i="36"/>
  <c r="T534" i="1"/>
  <c r="S534" i="1"/>
  <c r="R534" i="1"/>
  <c r="AI257" i="1"/>
  <c r="AI456" i="1"/>
  <c r="AI273" i="1"/>
  <c r="AI337" i="1"/>
  <c r="AI285" i="1"/>
  <c r="AI144" i="1"/>
  <c r="AI441" i="1"/>
  <c r="AI263" i="1"/>
  <c r="AI125" i="1"/>
  <c r="AI272" i="1"/>
  <c r="AI275" i="1"/>
  <c r="AI130" i="1"/>
  <c r="AI159" i="1"/>
  <c r="U5" i="17"/>
  <c r="AI245" i="1"/>
  <c r="AI258" i="1"/>
  <c r="AI518" i="1"/>
  <c r="AI421" i="1"/>
  <c r="AI425" i="1"/>
  <c r="AI424" i="1"/>
  <c r="AI259" i="1"/>
  <c r="AI237" i="1"/>
  <c r="AI528" i="1"/>
  <c r="AI151" i="1"/>
  <c r="AI135" i="1"/>
  <c r="AI164" i="1"/>
  <c r="AI298" i="1"/>
  <c r="AI161" i="1"/>
  <c r="AI282" i="1"/>
  <c r="AI156" i="1"/>
  <c r="AI287" i="1"/>
  <c r="AI406" i="1"/>
  <c r="AI360" i="1"/>
  <c r="AI350" i="1"/>
  <c r="AI134" i="1"/>
  <c r="AI316" i="1"/>
  <c r="AI472" i="1"/>
  <c r="AI490" i="1"/>
  <c r="AI277" i="1"/>
  <c r="AI486" i="1"/>
  <c r="AI355" i="1"/>
  <c r="AI469" i="1"/>
  <c r="AI516" i="1"/>
  <c r="AI529" i="1"/>
  <c r="AI312" i="1"/>
  <c r="AI398" i="1"/>
  <c r="AI301" i="1"/>
  <c r="AI205" i="1"/>
  <c r="AI499" i="1"/>
  <c r="AI345" i="1"/>
  <c r="AI367" i="1"/>
  <c r="AI339" i="1"/>
  <c r="AI491" i="1"/>
  <c r="AI247" i="1"/>
  <c r="AI325" i="1"/>
  <c r="AI311" i="1"/>
  <c r="AI464" i="1"/>
  <c r="AI352" i="1"/>
  <c r="AI500" i="1"/>
  <c r="AI303" i="1"/>
  <c r="AI302" i="1"/>
  <c r="AI236" i="1"/>
  <c r="AI222" i="1"/>
  <c r="AI201" i="1"/>
  <c r="AI214" i="1"/>
  <c r="AI372" i="1"/>
  <c r="AI284" i="1"/>
  <c r="AI359" i="1"/>
  <c r="AI410" i="1"/>
  <c r="AI333" i="1"/>
  <c r="AI340" i="1"/>
  <c r="AI484" i="1"/>
  <c r="AI173" i="1"/>
  <c r="AI432" i="1"/>
  <c r="AI208" i="1"/>
  <c r="AI467" i="1"/>
  <c r="AI169" i="1"/>
  <c r="AI217" i="1"/>
  <c r="AI190" i="1"/>
  <c r="AI200" i="1"/>
  <c r="AI168" i="1"/>
  <c r="AI203" i="1"/>
  <c r="AI210" i="1"/>
  <c r="AI133" i="1"/>
  <c r="AI358" i="1"/>
  <c r="AI514" i="1"/>
  <c r="AI215" i="1"/>
  <c r="AI260" i="1"/>
  <c r="AI255" i="1"/>
  <c r="AI347" i="1"/>
  <c r="AI431" i="1"/>
  <c r="AI465" i="1"/>
  <c r="AI145" i="1"/>
  <c r="AI129" i="1"/>
  <c r="AI321" i="1"/>
  <c r="AI343" i="1"/>
  <c r="AI446" i="1"/>
  <c r="AI503" i="1"/>
  <c r="AI364" i="1"/>
  <c r="AI363" i="1"/>
  <c r="AI194" i="1"/>
  <c r="AI157" i="1"/>
  <c r="AI171" i="1"/>
  <c r="AI524" i="1"/>
  <c r="AI370" i="1"/>
  <c r="AI497" i="1"/>
  <c r="AI240" i="1"/>
  <c r="AI397" i="1"/>
  <c r="AI357" i="1"/>
  <c r="AI394" i="1"/>
  <c r="AI143" i="1"/>
  <c r="AI199" i="1"/>
  <c r="AI452" i="1"/>
  <c r="AI493" i="1"/>
  <c r="AI318" i="1"/>
  <c r="AI286" i="1"/>
  <c r="AI140" i="1"/>
  <c r="AI476" i="1"/>
  <c r="AI268" i="1"/>
  <c r="AI322" i="1"/>
  <c r="AI267" i="1"/>
  <c r="AI251" i="1"/>
  <c r="AI407" i="1"/>
  <c r="AI515" i="1"/>
  <c r="AI437" i="1"/>
  <c r="AI329" i="1"/>
  <c r="AI509" i="1"/>
  <c r="AI291" i="1"/>
  <c r="AI402" i="1"/>
  <c r="AI455" i="1"/>
  <c r="AI483" i="1"/>
  <c r="AI473" i="1"/>
  <c r="AI323" i="1"/>
  <c r="AI162" i="1"/>
  <c r="AI149" i="1"/>
  <c r="AI175" i="1"/>
  <c r="AI471" i="1"/>
  <c r="AI304" i="1"/>
  <c r="AI445" i="1"/>
  <c r="AI166" i="1"/>
  <c r="AI167" i="1"/>
  <c r="AI517" i="1"/>
  <c r="AI365" i="1"/>
  <c r="AI131" i="1"/>
  <c r="AI235" i="1"/>
  <c r="AI351" i="1"/>
  <c r="AI313" i="1"/>
  <c r="AI150" i="1"/>
  <c r="AI212" i="1"/>
  <c r="AI354" i="1"/>
  <c r="AI383" i="1"/>
  <c r="AI198" i="1"/>
  <c r="AI249" i="1"/>
  <c r="AI434" i="1"/>
  <c r="AI309" i="1"/>
  <c r="AI180" i="1"/>
  <c r="AI193" i="1"/>
  <c r="AI293" i="1"/>
  <c r="AI380" i="1"/>
  <c r="AI147" i="1"/>
  <c r="AI342" i="1"/>
  <c r="AI271" i="1"/>
  <c r="AI209" i="1"/>
  <c r="AI332" i="1"/>
  <c r="AI494" i="1"/>
  <c r="AI163" i="1"/>
  <c r="AI513" i="1"/>
  <c r="AI443" i="1"/>
  <c r="AI184" i="1"/>
  <c r="AI172" i="1"/>
  <c r="AI244" i="1"/>
  <c r="AI243" i="1"/>
  <c r="AI378" i="1"/>
  <c r="AI328" i="1"/>
  <c r="AI234" i="1"/>
  <c r="AI238" i="1"/>
  <c r="AI495" i="1"/>
  <c r="AI196" i="1"/>
  <c r="AI232" i="1"/>
  <c r="AI531" i="1"/>
  <c r="AI265" i="1"/>
  <c r="AI308" i="1"/>
  <c r="AI506" i="1"/>
  <c r="AI505" i="1"/>
  <c r="AI426" i="1"/>
  <c r="AI233" i="1"/>
  <c r="AI530" i="1"/>
  <c r="AI229" i="1"/>
  <c r="AI433" i="1"/>
  <c r="AI218" i="1"/>
  <c r="AI279" i="1"/>
  <c r="AI334" i="1"/>
  <c r="AI395" i="1"/>
  <c r="AI368" i="1"/>
  <c r="AI155" i="1"/>
  <c r="AI512" i="1"/>
  <c r="AI389" i="1"/>
  <c r="AI401" i="1"/>
  <c r="AI269" i="1"/>
  <c r="AI324" i="1"/>
  <c r="AI344" i="1"/>
  <c r="AI508" i="1"/>
  <c r="AI176" i="1"/>
  <c r="AI475" i="1"/>
  <c r="AI390" i="1"/>
  <c r="AI532" i="1"/>
  <c r="AI195" i="1"/>
  <c r="AI307" i="1"/>
  <c r="AI440" i="1"/>
  <c r="AI485" i="1"/>
  <c r="AI262" i="1"/>
  <c r="AI414" i="1"/>
  <c r="AI280" i="1"/>
  <c r="AI435" i="1"/>
  <c r="AI165" i="1"/>
  <c r="AI148" i="1"/>
  <c r="AI523" i="1"/>
  <c r="AI253" i="1"/>
  <c r="AI448" i="1"/>
  <c r="AI439" i="1"/>
  <c r="AI511" i="1"/>
  <c r="AI174" i="1"/>
  <c r="AI373" i="1"/>
  <c r="AI533" i="1"/>
  <c r="AI480" i="1"/>
  <c r="AI154" i="1"/>
  <c r="AI366" i="1"/>
  <c r="AI288" i="1"/>
  <c r="AI292" i="1"/>
  <c r="AI299" i="1"/>
  <c r="AI290" i="1"/>
  <c r="AI353" i="1"/>
  <c r="AI427" i="1"/>
  <c r="AI297" i="1"/>
  <c r="AI411" i="1"/>
  <c r="AI139" i="1"/>
  <c r="AI423" i="1"/>
  <c r="AI409" i="1"/>
  <c r="AI502" i="1"/>
  <c r="AI429" i="1"/>
  <c r="AI183" i="1"/>
  <c r="AI451" i="1"/>
  <c r="AI375" i="1"/>
  <c r="AI306" i="1"/>
  <c r="AI420" i="1"/>
  <c r="AI463" i="1"/>
  <c r="AI444" i="1"/>
  <c r="AI369" i="1"/>
  <c r="AI487" i="1"/>
  <c r="AI418" i="1"/>
  <c r="AI488" i="1"/>
  <c r="AI399" i="1"/>
  <c r="AI170" i="1"/>
  <c r="AI412" i="1"/>
  <c r="AI242" i="1"/>
  <c r="AI385" i="1"/>
  <c r="AI392" i="1"/>
  <c r="AI504" i="1"/>
  <c r="AI371" i="1"/>
  <c r="AI450" i="1"/>
  <c r="AI226" i="1"/>
  <c r="AI479" i="1"/>
  <c r="AI186" i="1"/>
  <c r="AI474" i="1"/>
  <c r="AI256" i="1"/>
  <c r="AI462" i="1"/>
  <c r="AI221" i="1"/>
  <c r="AI128" i="1"/>
  <c r="AI400" i="1"/>
  <c r="AI384" i="1"/>
  <c r="AI219" i="1"/>
  <c r="AI220" i="1"/>
  <c r="AI202" i="1"/>
  <c r="AI422" i="1"/>
  <c r="AI158" i="1"/>
  <c r="AI189" i="1"/>
  <c r="AI127" i="1"/>
  <c r="AI458" i="1"/>
  <c r="AI388" i="1"/>
  <c r="AI419" i="1"/>
  <c r="AI498" i="1"/>
  <c r="AI241" i="1"/>
  <c r="AI430" i="1"/>
  <c r="AI225" i="1"/>
  <c r="AI403" i="1"/>
  <c r="AI525" i="1"/>
  <c r="AI348" i="1"/>
  <c r="AI326" i="1"/>
  <c r="AI192" i="1"/>
  <c r="AI315" i="1"/>
  <c r="AI314" i="1"/>
  <c r="AI377" i="1"/>
  <c r="AI454" i="1"/>
  <c r="AI447" i="1"/>
  <c r="AI146" i="1"/>
  <c r="AI404" i="1"/>
  <c r="AI283" i="1"/>
  <c r="AI206" i="1"/>
  <c r="AI152" i="1"/>
  <c r="AI136" i="1"/>
  <c r="AI138" i="1"/>
  <c r="AI386" i="1"/>
  <c r="AI428" i="1"/>
  <c r="AI453" i="1"/>
  <c r="AI415" i="1"/>
  <c r="AI310" i="1"/>
  <c r="AI520" i="1"/>
  <c r="AI507" i="1"/>
  <c r="AI382" i="1"/>
  <c r="AI362" i="1"/>
  <c r="AI501" i="1"/>
  <c r="AI141" i="1"/>
  <c r="AI482" i="1"/>
  <c r="AI387" i="1"/>
  <c r="AI468" i="1"/>
  <c r="AI227" i="1"/>
  <c r="AI266" i="1"/>
  <c r="AI416" i="1"/>
  <c r="AI457" i="1"/>
  <c r="AI248" i="1"/>
  <c r="AI341" i="1"/>
  <c r="AI349" i="1"/>
  <c r="AI320" i="1"/>
  <c r="AI246" i="1"/>
  <c r="AI438" i="1"/>
  <c r="AI413" i="1"/>
  <c r="AI276" i="1"/>
  <c r="AI204" i="1"/>
  <c r="AI182" i="1"/>
  <c r="AI408" i="1"/>
  <c r="AI470" i="1"/>
  <c r="AI361" i="1"/>
  <c r="AI442" i="1"/>
  <c r="AI405" i="1"/>
  <c r="AI481" i="1"/>
  <c r="AI231" i="1"/>
  <c r="AI496" i="1"/>
  <c r="AI185" i="1"/>
  <c r="AI379" i="1"/>
  <c r="AI510" i="1"/>
  <c r="AI331" i="1"/>
  <c r="AI300" i="1"/>
  <c r="AI178" i="1"/>
  <c r="AI177" i="1"/>
  <c r="AI330" i="1"/>
  <c r="AI289" i="1"/>
  <c r="AI338" i="1"/>
  <c r="AI213" i="1"/>
  <c r="AI492" i="1"/>
  <c r="AI376" i="1"/>
  <c r="AI391" i="1"/>
  <c r="AI211" i="1"/>
  <c r="AI295" i="1"/>
  <c r="AI459" i="1"/>
  <c r="AI381" i="1"/>
  <c r="AI336" i="1"/>
  <c r="AI187" i="1"/>
  <c r="AI477" i="1"/>
  <c r="AI137" i="1"/>
  <c r="AI191" i="1"/>
  <c r="AI466" i="1"/>
  <c r="AI281" i="1"/>
  <c r="AI526" i="1"/>
  <c r="AI319" i="1"/>
  <c r="AI461" i="1"/>
  <c r="AI436" i="1"/>
  <c r="AI270" i="1"/>
  <c r="AI305" i="1"/>
  <c r="AI346" i="1"/>
  <c r="AI197" i="1"/>
  <c r="AI317" i="1"/>
  <c r="AI327" i="1"/>
  <c r="AI449" i="1"/>
  <c r="AI396" i="1"/>
  <c r="AI374" i="1"/>
  <c r="AI417" i="1"/>
  <c r="AI489" i="1"/>
  <c r="AI132" i="1"/>
  <c r="AI261" i="1"/>
  <c r="AI296" i="1"/>
  <c r="AI252" i="1"/>
  <c r="AI521" i="1"/>
  <c r="AI460" i="1"/>
  <c r="AI179" i="1"/>
  <c r="AI393" i="1"/>
  <c r="AI527" i="1"/>
  <c r="AI478" i="1"/>
  <c r="AI181" i="1"/>
  <c r="AI519" i="1"/>
  <c r="AI254" i="1"/>
  <c r="AI188" i="1"/>
  <c r="AI160" i="1"/>
  <c r="AI142" i="1"/>
  <c r="AI126" i="1"/>
  <c r="E15" i="25"/>
  <c r="I15" i="25" s="1"/>
  <c r="P10" i="17"/>
  <c r="Q10" i="17" s="1"/>
  <c r="F35" i="25"/>
  <c r="P8" i="17"/>
  <c r="Q8" i="17" s="1"/>
  <c r="J21" i="25"/>
  <c r="R14" i="17"/>
  <c r="T16" i="17"/>
  <c r="U7" i="17"/>
  <c r="G24" i="25"/>
  <c r="P11" i="17"/>
  <c r="Q11" i="17" s="1"/>
  <c r="J17" i="17"/>
  <c r="I17" i="17"/>
  <c r="P42" i="17"/>
  <c r="Q42" i="17" s="1"/>
  <c r="G22" i="25"/>
  <c r="U42" i="17"/>
  <c r="L18" i="32"/>
  <c r="U14" i="17"/>
  <c r="J37" i="25"/>
  <c r="P41" i="17"/>
  <c r="Q41" i="17" s="1"/>
  <c r="R25" i="17"/>
  <c r="E23" i="25"/>
  <c r="I23" i="25" s="1"/>
  <c r="J5" i="17"/>
  <c r="R5" i="17"/>
  <c r="R23" i="17"/>
  <c r="I23" i="17"/>
  <c r="J23" i="17"/>
  <c r="U18" i="17"/>
  <c r="P36" i="17"/>
  <c r="Q36" i="17" s="1"/>
  <c r="Z35" i="17"/>
  <c r="U10" i="17"/>
  <c r="Z23" i="17"/>
  <c r="P20" i="17"/>
  <c r="Q20" i="17" s="1"/>
  <c r="P6" i="17"/>
  <c r="Q6" i="17" s="1"/>
  <c r="Z21" i="17"/>
  <c r="J14" i="17"/>
  <c r="P7" i="17"/>
  <c r="Q7" i="17" s="1"/>
  <c r="J33" i="25"/>
  <c r="E13" i="25"/>
  <c r="I13" i="25" s="1"/>
  <c r="Z38" i="17"/>
  <c r="F28" i="25"/>
  <c r="E28" i="25"/>
  <c r="I28" i="25" s="1"/>
  <c r="J10" i="17"/>
  <c r="I10" i="17"/>
  <c r="I39" i="17"/>
  <c r="J39" i="17"/>
  <c r="J27" i="17"/>
  <c r="R27" i="17"/>
  <c r="Z28" i="17"/>
  <c r="R41" i="17"/>
  <c r="Z27" i="17"/>
  <c r="E26" i="25"/>
  <c r="I26" i="25" s="1"/>
  <c r="P27" i="17"/>
  <c r="Q27" i="17" s="1"/>
  <c r="P40" i="17"/>
  <c r="Q40" i="17" s="1"/>
  <c r="Z9" i="17"/>
  <c r="I8" i="17"/>
  <c r="U13" i="17"/>
  <c r="I14" i="17"/>
  <c r="U31" i="17"/>
  <c r="Z26" i="17"/>
  <c r="S10" i="17"/>
  <c r="U37" i="17"/>
  <c r="P14" i="17"/>
  <c r="Q14" i="17" s="1"/>
  <c r="R29" i="17"/>
  <c r="Z30" i="17"/>
  <c r="Z32" i="17"/>
  <c r="R8" i="17"/>
  <c r="O43" i="17"/>
  <c r="R12" i="17"/>
  <c r="J43" i="25"/>
  <c r="J42" i="25"/>
  <c r="J39" i="25"/>
  <c r="J35" i="25"/>
  <c r="J34" i="25"/>
  <c r="J30" i="25"/>
  <c r="J27" i="25"/>
  <c r="J25" i="25"/>
  <c r="W9" i="25"/>
  <c r="J14" i="25"/>
  <c r="L44" i="25"/>
  <c r="J9" i="25"/>
  <c r="J7" i="25"/>
  <c r="N44" i="25"/>
  <c r="L32" i="17"/>
  <c r="L30" i="17"/>
  <c r="E25" i="25"/>
  <c r="I25" i="25" s="1"/>
  <c r="L41" i="17"/>
  <c r="P35" i="17"/>
  <c r="Q35" i="17" s="1"/>
  <c r="P34" i="17"/>
  <c r="Q34" i="17" s="1"/>
  <c r="P31" i="17"/>
  <c r="Q31" i="17" s="1"/>
  <c r="P28" i="17"/>
  <c r="Q28" i="17" s="1"/>
  <c r="P25" i="17"/>
  <c r="Q25" i="17" s="1"/>
  <c r="P24" i="17"/>
  <c r="Q24" i="17" s="1"/>
  <c r="P22" i="17"/>
  <c r="Q22" i="17" s="1"/>
  <c r="P15" i="17"/>
  <c r="Q15" i="17" s="1"/>
  <c r="P12" i="17"/>
  <c r="Q12" i="17" s="1"/>
  <c r="P9" i="17"/>
  <c r="Q9" i="17" s="1"/>
  <c r="R38" i="17"/>
  <c r="P18" i="17"/>
  <c r="Q18" i="17" s="1"/>
  <c r="S8" i="17"/>
  <c r="T9" i="17"/>
  <c r="S16" i="17"/>
  <c r="T38" i="17"/>
  <c r="I37" i="25"/>
  <c r="G37" i="25"/>
  <c r="I24" i="17"/>
  <c r="J24" i="17"/>
  <c r="I19" i="17"/>
  <c r="R19" i="17"/>
  <c r="J19" i="17"/>
  <c r="J35" i="17"/>
  <c r="I35" i="17"/>
  <c r="R35" i="17"/>
  <c r="R28" i="17"/>
  <c r="I28" i="17"/>
  <c r="J28" i="17"/>
  <c r="U33" i="17"/>
  <c r="R18" i="17"/>
  <c r="L9" i="32"/>
  <c r="P21" i="17"/>
  <c r="Q21" i="17" s="1"/>
  <c r="J38" i="25"/>
  <c r="J26" i="25"/>
  <c r="J22" i="25"/>
  <c r="U9" i="25"/>
  <c r="S15" i="17"/>
  <c r="S11" i="17"/>
  <c r="R40" i="17"/>
  <c r="I11" i="17"/>
  <c r="L42" i="17"/>
  <c r="L17" i="32"/>
  <c r="P30" i="17"/>
  <c r="Q30" i="17" s="1"/>
  <c r="J18" i="17"/>
  <c r="U6" i="17"/>
  <c r="L24" i="32"/>
  <c r="S40" i="17"/>
  <c r="L3" i="32"/>
  <c r="L29" i="17"/>
  <c r="T40" i="17"/>
  <c r="U36" i="17"/>
  <c r="L7" i="32"/>
  <c r="Z25" i="17"/>
  <c r="Z19" i="17"/>
  <c r="J41" i="25"/>
  <c r="J29" i="25"/>
  <c r="J13" i="25"/>
  <c r="S42" i="17"/>
  <c r="T32" i="17"/>
  <c r="S12" i="17"/>
  <c r="S7" i="17"/>
  <c r="J10" i="25"/>
  <c r="I24" i="25"/>
  <c r="G16" i="17"/>
  <c r="R16" i="17" s="1"/>
  <c r="P29" i="17"/>
  <c r="Q29" i="17" s="1"/>
  <c r="Z20" i="17"/>
  <c r="P16" i="17"/>
  <c r="Q16" i="17" s="1"/>
  <c r="Y9" i="25"/>
  <c r="F31" i="25"/>
  <c r="F6" i="25"/>
  <c r="M44" i="25"/>
  <c r="E31" i="25"/>
  <c r="I31" i="25" s="1"/>
  <c r="L38" i="17"/>
  <c r="L16" i="32"/>
  <c r="P23" i="17"/>
  <c r="Q23" i="17" s="1"/>
  <c r="AA8" i="25"/>
  <c r="J40" i="25"/>
  <c r="J36" i="25"/>
  <c r="J32" i="25"/>
  <c r="J28" i="25"/>
  <c r="J24" i="25"/>
  <c r="J20" i="25"/>
  <c r="J12" i="25"/>
  <c r="J8" i="25"/>
  <c r="I27" i="17"/>
  <c r="R9" i="17"/>
  <c r="I6" i="17"/>
  <c r="U12" i="17"/>
  <c r="R10" i="17"/>
  <c r="Z39" i="17"/>
  <c r="L31" i="32"/>
  <c r="K43" i="17"/>
  <c r="U43" i="17" s="1"/>
  <c r="J6" i="25"/>
  <c r="P38" i="17"/>
  <c r="Q38" i="17" s="1"/>
  <c r="L4" i="32"/>
  <c r="L15" i="32"/>
  <c r="P17" i="17"/>
  <c r="Q17" i="17" s="1"/>
  <c r="P26" i="17"/>
  <c r="Q26" i="17" s="1"/>
  <c r="Y8" i="25"/>
  <c r="L25" i="32"/>
  <c r="L14" i="32"/>
  <c r="E32" i="25"/>
  <c r="I32" i="25" s="1"/>
  <c r="S9" i="17"/>
  <c r="R6" i="17"/>
  <c r="R33" i="17"/>
  <c r="L13" i="32"/>
  <c r="P37" i="17"/>
  <c r="Q37" i="17" s="1"/>
  <c r="P32" i="17"/>
  <c r="Q32" i="17" s="1"/>
  <c r="J31" i="25"/>
  <c r="J23" i="25"/>
  <c r="J19" i="25"/>
  <c r="J15" i="25"/>
  <c r="J11" i="25"/>
  <c r="L15" i="17"/>
  <c r="S6" i="17"/>
  <c r="L19" i="32"/>
  <c r="R34" i="17"/>
  <c r="Z11" i="17"/>
  <c r="I25" i="17"/>
  <c r="I34" i="17"/>
  <c r="J25" i="17"/>
  <c r="R31" i="17"/>
  <c r="L12" i="32"/>
  <c r="AA9" i="25"/>
  <c r="U8" i="25"/>
  <c r="I26" i="17"/>
  <c r="J26" i="17"/>
  <c r="R26" i="17"/>
  <c r="E42" i="25"/>
  <c r="F42" i="25"/>
  <c r="L5" i="17"/>
  <c r="J42" i="17"/>
  <c r="I42" i="17"/>
  <c r="R42" i="17"/>
  <c r="R7" i="17"/>
  <c r="J7" i="17"/>
  <c r="I7" i="17"/>
  <c r="F32" i="25"/>
  <c r="J13" i="17"/>
  <c r="I13" i="17"/>
  <c r="R13" i="17"/>
  <c r="J30" i="17"/>
  <c r="R30" i="17"/>
  <c r="I30" i="17"/>
  <c r="L27" i="17"/>
  <c r="J32" i="17"/>
  <c r="R32" i="17"/>
  <c r="I32" i="17"/>
  <c r="J37" i="17"/>
  <c r="R37" i="17"/>
  <c r="I37" i="17"/>
  <c r="K44" i="25"/>
  <c r="T24" i="17"/>
  <c r="T8" i="17"/>
  <c r="I38" i="17"/>
  <c r="J38" i="17"/>
  <c r="M43" i="17"/>
  <c r="J21" i="17"/>
  <c r="J33" i="17"/>
  <c r="J15" i="17"/>
  <c r="R24" i="17"/>
  <c r="I5" i="17"/>
  <c r="Z29" i="17"/>
  <c r="L30" i="32"/>
  <c r="L8" i="32"/>
  <c r="J18" i="25"/>
  <c r="R39" i="17"/>
  <c r="R21" i="17"/>
  <c r="I31" i="17"/>
  <c r="U17" i="17"/>
  <c r="E43" i="17"/>
  <c r="L29" i="32"/>
  <c r="L32" i="32"/>
  <c r="S21" i="17"/>
  <c r="T23" i="17"/>
  <c r="S5" i="17"/>
  <c r="P33" i="17"/>
  <c r="Q33" i="17" s="1"/>
  <c r="J41" i="17"/>
  <c r="U8" i="17"/>
  <c r="L28" i="32"/>
  <c r="L23" i="32"/>
  <c r="Z15" i="17"/>
  <c r="E6" i="25"/>
  <c r="R36" i="17"/>
  <c r="U34" i="17"/>
  <c r="L33" i="32"/>
  <c r="L38" i="32"/>
  <c r="Z41" i="17"/>
  <c r="P5" i="17"/>
  <c r="Z8" i="17"/>
  <c r="E35" i="25"/>
  <c r="Z22" i="17"/>
  <c r="J12" i="17"/>
  <c r="R20" i="17"/>
  <c r="I41" i="17"/>
  <c r="L11" i="32"/>
  <c r="W8" i="25"/>
  <c r="L22" i="32"/>
  <c r="L6" i="32"/>
  <c r="I9" i="17"/>
  <c r="J36" i="17"/>
  <c r="J22" i="17"/>
  <c r="R11" i="17"/>
  <c r="L37" i="32"/>
  <c r="L34" i="32"/>
  <c r="L21" i="32"/>
  <c r="L27" i="32"/>
  <c r="J20" i="17"/>
  <c r="R22" i="17"/>
  <c r="U24" i="17"/>
  <c r="U16" i="17"/>
  <c r="R17" i="17"/>
  <c r="L36" i="32"/>
  <c r="L26" i="32"/>
  <c r="L5" i="32"/>
  <c r="S20" i="17"/>
  <c r="R15" i="17"/>
  <c r="J29" i="17"/>
  <c r="L35" i="32"/>
  <c r="L10" i="32"/>
  <c r="P19" i="17"/>
  <c r="Q19" i="17" s="1"/>
  <c r="P39" i="17"/>
  <c r="Q39" i="17" s="1"/>
  <c r="P13" i="17"/>
  <c r="Q13" i="17" s="1"/>
  <c r="N43" i="17"/>
  <c r="I12" i="17"/>
  <c r="S19" i="17"/>
  <c r="S36" i="17"/>
  <c r="S34" i="17"/>
  <c r="T30" i="17"/>
  <c r="T28" i="17"/>
  <c r="T22" i="17"/>
  <c r="T18" i="17"/>
  <c r="T17" i="17"/>
  <c r="S38" i="17"/>
  <c r="S41" i="17"/>
  <c r="S31" i="17"/>
  <c r="S22" i="17"/>
  <c r="T20" i="17"/>
  <c r="S13" i="17"/>
  <c r="T11" i="17"/>
  <c r="S14" i="17"/>
  <c r="S39" i="17"/>
  <c r="T36" i="17"/>
  <c r="T34" i="17"/>
  <c r="T33" i="17"/>
  <c r="S33" i="17"/>
  <c r="S27" i="17"/>
  <c r="T29" i="17"/>
  <c r="T7" i="17"/>
  <c r="T10" i="17"/>
  <c r="T5" i="17"/>
  <c r="T13" i="17"/>
  <c r="S26" i="17"/>
  <c r="T19" i="17"/>
  <c r="S18" i="17"/>
  <c r="T12" i="17"/>
  <c r="T42" i="17"/>
  <c r="T41" i="17"/>
  <c r="T39" i="17"/>
  <c r="S35" i="17"/>
  <c r="S30" i="17"/>
  <c r="S25" i="17"/>
  <c r="S24" i="17"/>
  <c r="S23" i="17"/>
  <c r="T26" i="17"/>
  <c r="T14" i="17"/>
  <c r="T27" i="17"/>
  <c r="T37" i="17"/>
  <c r="S37" i="17"/>
  <c r="S32" i="17"/>
  <c r="T31" i="17"/>
  <c r="S29" i="17"/>
  <c r="S28" i="17"/>
  <c r="S17" i="17"/>
  <c r="T15" i="17"/>
  <c r="T6" i="17"/>
  <c r="T25" i="17"/>
  <c r="T21" i="17"/>
  <c r="T35" i="17"/>
  <c r="F7" i="20"/>
  <c r="F8" i="20"/>
  <c r="G15" i="25" l="1"/>
  <c r="Y10" i="17"/>
  <c r="W21" i="17"/>
  <c r="W8" i="17"/>
  <c r="G25" i="25"/>
  <c r="G23" i="25"/>
  <c r="G13" i="25"/>
  <c r="Y16" i="17"/>
  <c r="W40" i="17"/>
  <c r="V6" i="17"/>
  <c r="G32" i="25"/>
  <c r="W16" i="17"/>
  <c r="W17" i="17"/>
  <c r="T8" i="25"/>
  <c r="V8" i="25" s="1"/>
  <c r="G28" i="25"/>
  <c r="Y9" i="17"/>
  <c r="W33" i="17"/>
  <c r="W20" i="17"/>
  <c r="Y24" i="17"/>
  <c r="G43" i="17"/>
  <c r="J43" i="17" s="1"/>
  <c r="G26" i="25"/>
  <c r="V8" i="17"/>
  <c r="V33" i="17"/>
  <c r="Y12" i="17"/>
  <c r="Y41" i="17"/>
  <c r="V42" i="17"/>
  <c r="V36" i="17"/>
  <c r="W19" i="17"/>
  <c r="Y14" i="17"/>
  <c r="V16" i="17"/>
  <c r="Y8" i="17"/>
  <c r="V31" i="17"/>
  <c r="W9" i="17"/>
  <c r="W22" i="17"/>
  <c r="Y5" i="17"/>
  <c r="Y11" i="17"/>
  <c r="Y15" i="17"/>
  <c r="V9" i="17"/>
  <c r="W14" i="17"/>
  <c r="W11" i="17"/>
  <c r="W5" i="17"/>
  <c r="Y32" i="17"/>
  <c r="Y6" i="17"/>
  <c r="Y34" i="17"/>
  <c r="V5" i="17"/>
  <c r="Y13" i="17"/>
  <c r="V18" i="17"/>
  <c r="Y40" i="17"/>
  <c r="V24" i="17"/>
  <c r="V23" i="17"/>
  <c r="V40" i="17"/>
  <c r="V34" i="17"/>
  <c r="W7" i="17"/>
  <c r="W28" i="17"/>
  <c r="Y28" i="17"/>
  <c r="Y39" i="17"/>
  <c r="Y33" i="17"/>
  <c r="W38" i="17"/>
  <c r="V17" i="17"/>
  <c r="Y17" i="17"/>
  <c r="L39" i="32"/>
  <c r="V28" i="17"/>
  <c r="Y23" i="17"/>
  <c r="W39" i="17"/>
  <c r="Y25" i="17"/>
  <c r="W6" i="17"/>
  <c r="G31" i="25"/>
  <c r="W36" i="17"/>
  <c r="W13" i="17"/>
  <c r="W23" i="17"/>
  <c r="Y30" i="17"/>
  <c r="Y18" i="17"/>
  <c r="I16" i="17"/>
  <c r="I43" i="17" s="1"/>
  <c r="J16" i="17"/>
  <c r="T9" i="25"/>
  <c r="AB9" i="25" s="1"/>
  <c r="V38" i="17"/>
  <c r="W18" i="17"/>
  <c r="Y36" i="17"/>
  <c r="Y22" i="17"/>
  <c r="V10" i="17"/>
  <c r="W10" i="17"/>
  <c r="Y37" i="17"/>
  <c r="Z43" i="17"/>
  <c r="I42" i="25"/>
  <c r="G42" i="25"/>
  <c r="W32" i="17"/>
  <c r="W34" i="17"/>
  <c r="V30" i="17"/>
  <c r="V11" i="17"/>
  <c r="W41" i="17"/>
  <c r="V39" i="17"/>
  <c r="V41" i="17"/>
  <c r="I6" i="25"/>
  <c r="G6" i="25"/>
  <c r="Y38" i="17"/>
  <c r="W31" i="17"/>
  <c r="W12" i="17"/>
  <c r="Y20" i="17"/>
  <c r="I35" i="25"/>
  <c r="G35" i="25"/>
  <c r="V19" i="17"/>
  <c r="V12" i="17"/>
  <c r="V32" i="17"/>
  <c r="Y31" i="17"/>
  <c r="W30" i="17"/>
  <c r="W15" i="17"/>
  <c r="V20" i="17"/>
  <c r="Q5" i="17"/>
  <c r="Q43" i="17" s="1"/>
  <c r="P43" i="17"/>
  <c r="V22" i="17"/>
  <c r="Y7" i="17"/>
  <c r="V7" i="17"/>
  <c r="W24" i="17"/>
  <c r="W29" i="17"/>
  <c r="R43" i="17"/>
  <c r="V14" i="17"/>
  <c r="W27" i="17"/>
  <c r="Y27" i="17"/>
  <c r="V27" i="17"/>
  <c r="Y19" i="17"/>
  <c r="V13" i="17"/>
  <c r="W26" i="17"/>
  <c r="V26" i="17"/>
  <c r="Y26" i="17"/>
  <c r="V37" i="17"/>
  <c r="T43" i="17"/>
  <c r="Y21" i="17"/>
  <c r="V21" i="17"/>
  <c r="S43" i="17"/>
  <c r="Y29" i="17"/>
  <c r="W37" i="17"/>
  <c r="V29" i="17"/>
  <c r="V25" i="17"/>
  <c r="Y42" i="17"/>
  <c r="V15" i="17"/>
  <c r="W25" i="17"/>
  <c r="W42" i="17"/>
  <c r="V35" i="17"/>
  <c r="Y35" i="17"/>
  <c r="W35" i="17"/>
  <c r="X9" i="25" l="1"/>
  <c r="V9" i="25"/>
  <c r="Z9" i="25"/>
  <c r="X8" i="25"/>
  <c r="AB8" i="25"/>
  <c r="Z8" i="25"/>
  <c r="Y43" i="17"/>
  <c r="V432" i="1" l="1"/>
  <c r="E30" i="25"/>
  <c r="G30" i="25" s="1"/>
  <c r="V520" i="1"/>
  <c r="L28" i="17" s="1"/>
  <c r="X28" i="17"/>
  <c r="I30" i="25" l="1"/>
  <c r="F18" i="25" l="1"/>
  <c r="L12" i="17"/>
  <c r="X12" i="17"/>
  <c r="V448" i="1"/>
  <c r="E18" i="25"/>
  <c r="I18" i="25" s="1"/>
  <c r="G18" i="25" l="1"/>
  <c r="V530" i="1" l="1"/>
  <c r="F10" i="25"/>
  <c r="Q8" i="25" l="1"/>
  <c r="V390" i="1"/>
  <c r="V383" i="1"/>
  <c r="X11" i="17"/>
  <c r="V409" i="1"/>
  <c r="L11" i="17" s="1"/>
  <c r="E27" i="25"/>
  <c r="I27" i="25" s="1"/>
  <c r="E40" i="25"/>
  <c r="G40" i="25" s="1"/>
  <c r="L21" i="17"/>
  <c r="F40" i="25"/>
  <c r="X21" i="17"/>
  <c r="E19" i="25"/>
  <c r="I19" i="25" s="1"/>
  <c r="G19" i="25"/>
  <c r="V524" i="1"/>
  <c r="F19" i="25"/>
  <c r="I40" i="25" l="1"/>
  <c r="G27" i="25"/>
  <c r="AJ500" i="1"/>
  <c r="V500" i="1"/>
  <c r="R9" i="25"/>
  <c r="G20" i="25"/>
  <c r="V497" i="1"/>
  <c r="AJ497" i="1"/>
  <c r="I38" i="25"/>
  <c r="E38" i="25"/>
  <c r="G38" i="25"/>
  <c r="AJ444" i="1"/>
  <c r="V444" i="1"/>
  <c r="V498" i="1"/>
  <c r="AJ498" i="1"/>
  <c r="AJ466" i="1"/>
  <c r="V466" i="1"/>
  <c r="V404" i="1"/>
  <c r="AJ404" i="1"/>
  <c r="V531" i="1"/>
  <c r="AJ531" i="1"/>
  <c r="V451" i="1"/>
  <c r="AJ451" i="1"/>
  <c r="L43" i="17"/>
  <c r="L13" i="17"/>
  <c r="AJ393" i="1"/>
  <c r="V393" i="1"/>
  <c r="V523" i="1"/>
  <c r="AJ523" i="1"/>
  <c r="AJ506" i="1"/>
  <c r="V506" i="1"/>
  <c r="V507" i="1"/>
  <c r="AJ507" i="1"/>
  <c r="V387" i="1"/>
  <c r="AJ387" i="1"/>
  <c r="X18" i="17"/>
  <c r="G43" i="25"/>
  <c r="E43" i="25"/>
  <c r="I43" i="25"/>
  <c r="V519" i="1"/>
  <c r="AJ519" i="1"/>
  <c r="V489" i="1"/>
  <c r="AJ489" i="1"/>
  <c r="G9" i="25"/>
  <c r="E9" i="25"/>
  <c r="I9" i="25"/>
  <c r="AJ513" i="1"/>
  <c r="V513" i="1"/>
  <c r="G21" i="25"/>
  <c r="E21" i="25"/>
  <c r="I21" i="25"/>
  <c r="I10" i="25"/>
  <c r="E10" i="25"/>
  <c r="G10" i="25"/>
  <c r="L16" i="17"/>
  <c r="L17" i="17"/>
  <c r="V508" i="1"/>
  <c r="AJ508" i="1"/>
  <c r="I41" i="25"/>
  <c r="E41" i="25"/>
  <c r="G41" i="25"/>
  <c r="AJ486" i="1"/>
  <c r="V486" i="1"/>
  <c r="V469" i="1"/>
  <c r="AJ469" i="1"/>
  <c r="X22" i="17"/>
  <c r="V436" i="1"/>
  <c r="AJ436" i="1"/>
  <c r="I12" i="25"/>
  <c r="E12" i="25"/>
  <c r="G12" i="25"/>
  <c r="V126" i="1"/>
  <c r="AJ126" i="1"/>
  <c r="I11" i="25"/>
  <c r="E11" i="25"/>
  <c r="G11" i="25"/>
  <c r="L39" i="17"/>
  <c r="L20" i="17"/>
  <c r="V503" i="1"/>
  <c r="AJ503" i="1"/>
  <c r="X33" i="17"/>
  <c r="V405" i="1"/>
  <c r="AJ405" i="1"/>
  <c r="G14" i="25"/>
  <c r="E14" i="25"/>
  <c r="I14" i="25"/>
  <c r="I29" i="25"/>
  <c r="E29" i="25"/>
  <c r="G29" i="25"/>
  <c r="V534" i="1"/>
  <c r="V449" i="1"/>
  <c r="AJ449" i="1"/>
  <c r="V410" i="1"/>
  <c r="AJ410" i="1"/>
  <c r="X16" i="17"/>
  <c r="X43" i="17"/>
  <c r="V442" i="1"/>
  <c r="AJ442" i="1"/>
  <c r="V131" i="1"/>
  <c r="AJ131" i="1"/>
  <c r="F21" i="25"/>
  <c r="X25" i="17"/>
  <c r="L36" i="17"/>
  <c r="X35" i="17"/>
  <c r="V420" i="1"/>
  <c r="AJ420" i="1"/>
  <c r="X19" i="17"/>
  <c r="AJ446" i="1"/>
  <c r="V446" i="1"/>
  <c r="L26" i="17"/>
  <c r="E44" i="25"/>
  <c r="X24" i="17"/>
  <c r="V495" i="1"/>
  <c r="AJ495" i="1"/>
  <c r="I7" i="25"/>
  <c r="S8" i="25"/>
  <c r="L31" i="17"/>
  <c r="AJ382" i="1"/>
  <c r="V382" i="1"/>
  <c r="L25" i="17"/>
  <c r="I39" i="25"/>
  <c r="V134" i="1"/>
  <c r="AJ134" i="1"/>
  <c r="E39" i="25"/>
  <c r="G39" i="25"/>
  <c r="V487" i="1"/>
  <c r="AJ487" i="1"/>
  <c r="X20" i="17"/>
  <c r="V464" i="1"/>
  <c r="AJ464" i="1"/>
  <c r="AJ465" i="1"/>
  <c r="V465" i="1"/>
  <c r="I34" i="25"/>
  <c r="E34" i="25"/>
  <c r="G34" i="25"/>
  <c r="Q9" i="25"/>
  <c r="F20" i="25"/>
  <c r="F44" i="25"/>
  <c r="AJ462" i="1"/>
  <c r="V462" i="1"/>
  <c r="F41" i="25"/>
  <c r="V494" i="1"/>
  <c r="AJ494" i="1"/>
  <c r="X31" i="17"/>
  <c r="L23" i="17"/>
  <c r="L19" i="17"/>
  <c r="V391" i="1"/>
  <c r="AJ391" i="1"/>
  <c r="X26" i="17"/>
  <c r="I8" i="25"/>
  <c r="E8" i="25"/>
  <c r="G8" i="25"/>
  <c r="R8" i="25"/>
  <c r="E7" i="25"/>
  <c r="G7" i="25"/>
  <c r="G44" i="25"/>
  <c r="V129" i="1"/>
  <c r="AJ129" i="1"/>
  <c r="E20" i="25"/>
  <c r="I20" i="25"/>
  <c r="S9" i="25"/>
  <c r="G36" i="25"/>
  <c r="V125" i="1"/>
  <c r="AJ125" i="1"/>
  <c r="E36" i="25"/>
  <c r="I36" i="25"/>
  <c r="AJ132" i="1"/>
  <c r="V132" i="1"/>
  <c r="L18" i="17"/>
  <c r="V485" i="1"/>
  <c r="AJ485" i="1"/>
  <c r="X37" i="17"/>
  <c r="AJ374" i="1"/>
  <c r="V374" i="1"/>
  <c r="AJ127" i="1"/>
  <c r="V127" i="1"/>
  <c r="L22" i="17"/>
  <c r="AJ392" i="1"/>
  <c r="V392" i="1"/>
  <c r="L35" i="17"/>
  <c r="V481" i="1"/>
  <c r="AJ481" i="1"/>
  <c r="AJ445" i="1"/>
  <c r="V445" i="1"/>
  <c r="L24" i="17"/>
  <c r="F43" i="25"/>
  <c r="V504" i="1"/>
  <c r="AJ504" i="1"/>
  <c r="L34" i="17"/>
  <c r="AJ419" i="1"/>
  <c r="V419" i="1"/>
  <c r="V491" i="1"/>
  <c r="AJ491" i="1"/>
  <c r="X23" i="17"/>
  <c r="AJ130" i="1"/>
  <c r="V130" i="1"/>
  <c r="L37" i="17"/>
  <c r="V468" i="1"/>
  <c r="AJ468" i="1"/>
  <c r="X17" i="17"/>
  <c r="V133" i="1"/>
  <c r="AJ133" i="1"/>
  <c r="F38" i="25"/>
  <c r="AJ128" i="1"/>
  <c r="V128" i="1"/>
  <c r="L33" i="17"/>
  <c r="G33" i="25"/>
  <c r="E33" i="25"/>
  <c r="I33" i="25"/>
  <c r="X34" i="17"/>
  <c r="V484" i="1"/>
  <c r="AJ484" i="1"/>
  <c r="F33" i="25"/>
</calcChain>
</file>

<file path=xl/sharedStrings.xml><?xml version="1.0" encoding="utf-8"?>
<sst xmlns="http://schemas.openxmlformats.org/spreadsheetml/2006/main" count="6267" uniqueCount="688">
  <si>
    <t>Last Modified</t>
  </si>
  <si>
    <t>To-Date Course Information Based on Processed Rosters</t>
  </si>
  <si>
    <t>Courses - Planned vs Need (Active Courses)</t>
  </si>
  <si>
    <t>CTR</t>
  </si>
  <si>
    <t>Dept</t>
  </si>
  <si>
    <t>Course Offerings Todate</t>
  </si>
  <si>
    <t>Online</t>
  </si>
  <si>
    <t>Resident</t>
  </si>
  <si>
    <t>Quotas Per Convening</t>
  </si>
  <si>
    <t>Quotas Provided</t>
  </si>
  <si>
    <t>Quotas Used</t>
  </si>
  <si>
    <t>Total Grads</t>
  </si>
  <si>
    <t>Fails</t>
  </si>
  <si>
    <t>No Shows</t>
  </si>
  <si>
    <t>Walk-ins</t>
  </si>
  <si>
    <t xml:space="preserve">Afloat Environmental Protection Coordinator (Global Online) </t>
  </si>
  <si>
    <t>EEM</t>
  </si>
  <si>
    <t>Facility Response Team (FRT) Five Day</t>
  </si>
  <si>
    <t>y</t>
  </si>
  <si>
    <t>Course Type</t>
  </si>
  <si>
    <r>
      <rPr>
        <b/>
        <sz val="10"/>
        <color rgb="FF000000"/>
        <rFont val="Calibri"/>
        <family val="2"/>
      </rPr>
      <t xml:space="preserve">Quotas Used </t>
    </r>
    <r>
      <rPr>
        <b/>
        <sz val="8"/>
        <color rgb="FF000000"/>
        <rFont val="Calibri"/>
        <family val="2"/>
      </rPr>
      <t>(Grads, Fails, No-Shows)</t>
    </r>
  </si>
  <si>
    <t>Grads</t>
  </si>
  <si>
    <t>% Grads</t>
  </si>
  <si>
    <t>%Fails</t>
  </si>
  <si>
    <t>No-Show</t>
  </si>
  <si>
    <t>%No-Shows</t>
  </si>
  <si>
    <t>Walk-in</t>
  </si>
  <si>
    <t>%Walk-in</t>
  </si>
  <si>
    <t>Facility Response Team (FRT) Three Day</t>
  </si>
  <si>
    <t>Hazardous Substance Incident Response Management (HSIRM)</t>
  </si>
  <si>
    <t>Safety</t>
  </si>
  <si>
    <t>Hazardous Substance Incident Response Management (HSIRM) Refresher</t>
  </si>
  <si>
    <t>Incident Command System 300 (ICS 300)</t>
  </si>
  <si>
    <t>Incident Command System 300 (ICS 300) Refresher</t>
  </si>
  <si>
    <t>Incident Command System 400 (ICS 400)</t>
  </si>
  <si>
    <t>Oil Hazardous Substance Spill Response Tabletop Exercise (OHS TTX)</t>
  </si>
  <si>
    <t xml:space="preserve">Tank Managers </t>
  </si>
  <si>
    <t xml:space="preserve">Aviation Safety Specialist (Global Online) </t>
  </si>
  <si>
    <t xml:space="preserve">General Industry Safety Standards (Global Online) </t>
  </si>
  <si>
    <t>Operational Risk Management Application &amp; Integration (Global Online)</t>
  </si>
  <si>
    <t xml:space="preserve">Safety Programs Afloat (Global Online) </t>
  </si>
  <si>
    <t>Asbestos Inspector</t>
  </si>
  <si>
    <t>Asbestos Inspector Refresher</t>
  </si>
  <si>
    <t xml:space="preserve">Asbestos Management Planner </t>
  </si>
  <si>
    <t>Asbestos Management Planner Refresher</t>
  </si>
  <si>
    <t>Asbestos Supervisor Initial</t>
  </si>
  <si>
    <t>Asbestos Supervisor Refresher</t>
  </si>
  <si>
    <t>Confined Space Safety</t>
  </si>
  <si>
    <t>Emergency Asbestos Response Team</t>
  </si>
  <si>
    <t>Industrial Noise</t>
  </si>
  <si>
    <t xml:space="preserve">Introduction to Hazardous Materials [Ashore] (Global Online) </t>
  </si>
  <si>
    <t xml:space="preserve">Introduction to Industrial Hygiene for Safety Professionals (Global Online) </t>
  </si>
  <si>
    <t>Navy Ergonomics Program (Global Online)</t>
  </si>
  <si>
    <t>Respiratory Protection Program Management</t>
  </si>
  <si>
    <t xml:space="preserve">Submarine Safety Officer (Global Online) </t>
  </si>
  <si>
    <t>Competent Person for Fall Protection Course (Resident)</t>
  </si>
  <si>
    <t>Construction Safety Standards</t>
  </si>
  <si>
    <t>Fall Protection Program Manager Course (Global Online)</t>
  </si>
  <si>
    <t>Fire Protection and Life Safety</t>
  </si>
  <si>
    <t xml:space="preserve">Introduction to Naval Safety and Occupational Health (Global Online) </t>
  </si>
  <si>
    <t xml:space="preserve">Machinery and Machine Guarding Standards (Global Online) </t>
  </si>
  <si>
    <t xml:space="preserve">Mishap Investigation (Global Online) </t>
  </si>
  <si>
    <t>Total</t>
  </si>
  <si>
    <t>Sum of Quotas</t>
  </si>
  <si>
    <t>Sum of Graduates</t>
  </si>
  <si>
    <t>Sum of Fail</t>
  </si>
  <si>
    <t>Sum of No Shows</t>
  </si>
  <si>
    <t>1. Click ^^^</t>
  </si>
  <si>
    <t>Grads+Fails</t>
  </si>
  <si>
    <t>Grads+Fails+NoShows</t>
  </si>
  <si>
    <t>***Based off file received 22 May 3:39 PM***</t>
  </si>
  <si>
    <t>Course</t>
  </si>
  <si>
    <t>Format</t>
  </si>
  <si>
    <t>CIN</t>
  </si>
  <si>
    <t>CDP</t>
  </si>
  <si>
    <t>FY25 FLT Quota Need</t>
  </si>
  <si>
    <t>Quota Per Course</t>
  </si>
  <si>
    <t>FY25 Courses Needed</t>
  </si>
  <si>
    <t>FY25Courses Needed Round Up</t>
  </si>
  <si>
    <t>NSETC Course # projections</t>
  </si>
  <si>
    <t>NSETC Course # Planned</t>
  </si>
  <si>
    <t>Hours per course</t>
  </si>
  <si>
    <t>Total hours for FY25 to instruct course</t>
  </si>
  <si>
    <t>NSETC FLT Needs deficit</t>
  </si>
  <si>
    <t>NSETC % towards fleet need</t>
  </si>
  <si>
    <t>ENV</t>
  </si>
  <si>
    <t>Global Online</t>
  </si>
  <si>
    <t>A-4J-0022</t>
  </si>
  <si>
    <t>09ER</t>
  </si>
  <si>
    <t>Asbestos Inspector Initial</t>
  </si>
  <si>
    <t>OH</t>
  </si>
  <si>
    <t>A-493-0014</t>
  </si>
  <si>
    <t>A-493-0015</t>
  </si>
  <si>
    <t>Asbestos Management Planner Initial</t>
  </si>
  <si>
    <t>A-493-0019</t>
  </si>
  <si>
    <t>A-493-0020</t>
  </si>
  <si>
    <t>A-493-0069</t>
  </si>
  <si>
    <t>450U</t>
  </si>
  <si>
    <t>A-493-0070</t>
  </si>
  <si>
    <t>450V</t>
  </si>
  <si>
    <t>FLT</t>
  </si>
  <si>
    <t>A-493-0665</t>
  </si>
  <si>
    <t>10KW</t>
  </si>
  <si>
    <t>SAF</t>
  </si>
  <si>
    <t>A-493-0103</t>
  </si>
  <si>
    <t>12JY</t>
  </si>
  <si>
    <t>A-493-0030</t>
  </si>
  <si>
    <t>286X</t>
  </si>
  <si>
    <t>A-493-0021</t>
  </si>
  <si>
    <t>18BN</t>
  </si>
  <si>
    <t>A-760-2166</t>
  </si>
  <si>
    <t>438J</t>
  </si>
  <si>
    <t>A-493-0012</t>
  </si>
  <si>
    <t>A-493-0013</t>
  </si>
  <si>
    <t>A-493-0099</t>
  </si>
  <si>
    <t>12JW</t>
  </si>
  <si>
    <t>A-493-0075</t>
  </si>
  <si>
    <t>714U</t>
  </si>
  <si>
    <t>A-493-0061</t>
  </si>
  <si>
    <t>288E</t>
  </si>
  <si>
    <t>Hazardous Material Control and Management [HMC&amp;M] Technician (Global Online)</t>
  </si>
  <si>
    <t>A-322-2604</t>
  </si>
  <si>
    <t>10ZZ</t>
  </si>
  <si>
    <t>A-493-0077</t>
  </si>
  <si>
    <t>0381</t>
  </si>
  <si>
    <t>A-493-0083</t>
  </si>
  <si>
    <t>339E</t>
  </si>
  <si>
    <t>A-493-2300</t>
  </si>
  <si>
    <t>993F</t>
  </si>
  <si>
    <t>A-493-2301</t>
  </si>
  <si>
    <t>05ZD</t>
  </si>
  <si>
    <t>A-493-0216</t>
  </si>
  <si>
    <t>12X8</t>
  </si>
  <si>
    <t>A-493-0092</t>
  </si>
  <si>
    <t>A-493-0331</t>
  </si>
  <si>
    <t>10UG</t>
  </si>
  <si>
    <t>A-493-0335</t>
  </si>
  <si>
    <t>09ND</t>
  </si>
  <si>
    <t>A-493-0550</t>
  </si>
  <si>
    <t>09K5</t>
  </si>
  <si>
    <t>A-493-0073</t>
  </si>
  <si>
    <t>714S</t>
  </si>
  <si>
    <t>A-493-0078</t>
  </si>
  <si>
    <t>A-493-0085</t>
  </si>
  <si>
    <t>A-493-2501</t>
  </si>
  <si>
    <t>05ZE</t>
  </si>
  <si>
    <t>A-570-0100</t>
  </si>
  <si>
    <t>18B7</t>
  </si>
  <si>
    <t>A-493-0072</t>
  </si>
  <si>
    <t>713U</t>
  </si>
  <si>
    <t>A-493-2098</t>
  </si>
  <si>
    <t>09WW</t>
  </si>
  <si>
    <t>F-4J-0023</t>
  </si>
  <si>
    <t>11A2</t>
  </si>
  <si>
    <t>A-493-0217</t>
  </si>
  <si>
    <t>12X3</t>
  </si>
  <si>
    <t>Location</t>
  </si>
  <si>
    <t xml:space="preserve"> Atsugi, Japan</t>
  </si>
  <si>
    <t>Andros, Bahamas</t>
  </si>
  <si>
    <t>Annapolis, MD</t>
  </si>
  <si>
    <t>Atsugi, Japan</t>
  </si>
  <si>
    <t>Bahrain</t>
  </si>
  <si>
    <t>Bangor, WA</t>
  </si>
  <si>
    <t>Beaufort, SC</t>
  </si>
  <si>
    <t>Bremerton, WA</t>
  </si>
  <si>
    <t>Camp Butler, Japan</t>
  </si>
  <si>
    <t>Camp Lejeune, NC</t>
  </si>
  <si>
    <t>Camp Pendleton, CA</t>
  </si>
  <si>
    <t>Cherry Point, NC</t>
  </si>
  <si>
    <t>Colts Neck, NJ</t>
  </si>
  <si>
    <t>Coronado, CA</t>
  </si>
  <si>
    <t>Corpus Christi, TX</t>
  </si>
  <si>
    <t>Crane, IN</t>
  </si>
  <si>
    <t>Diego Garcia</t>
  </si>
  <si>
    <t>Everett, WA</t>
  </si>
  <si>
    <t>Great Lakes, IL</t>
  </si>
  <si>
    <t>Groton, CT</t>
  </si>
  <si>
    <t>Guam</t>
  </si>
  <si>
    <t>Guantanamo Bay, Cuba</t>
  </si>
  <si>
    <t>Gulfport, MS</t>
  </si>
  <si>
    <t>Hachinohe, Japan</t>
  </si>
  <si>
    <t>Hakozaki, Japan</t>
  </si>
  <si>
    <t>Indian Head, MD</t>
  </si>
  <si>
    <t>Indian Island, WA</t>
  </si>
  <si>
    <t>Iwakuni, Japan</t>
  </si>
  <si>
    <t>Jacksonville, FL</t>
  </si>
  <si>
    <t>Key West, FL</t>
  </si>
  <si>
    <t>Kings Bay, GA</t>
  </si>
  <si>
    <t>Lemoore, CA</t>
  </si>
  <si>
    <t>Little Creek, VA</t>
  </si>
  <si>
    <t>Manchester, WA</t>
  </si>
  <si>
    <t>Marine Corps Base Hawaii</t>
  </si>
  <si>
    <t>Mayport, FL</t>
  </si>
  <si>
    <t>Naples, Italy</t>
  </si>
  <si>
    <t>New Orleans, LA</t>
  </si>
  <si>
    <t>Newport, RI</t>
  </si>
  <si>
    <t>Norfolk Naval Shipyard</t>
  </si>
  <si>
    <t>Norfolk, VA</t>
  </si>
  <si>
    <t>Norfolk, VA Classroom 1</t>
  </si>
  <si>
    <t>Norfolk, VA Classroom 2</t>
  </si>
  <si>
    <t>Norfolk, VA Safety Command</t>
  </si>
  <si>
    <t>Oceana, VA</t>
  </si>
  <si>
    <t>Okinawa, Japan</t>
  </si>
  <si>
    <t>Panama City, FL</t>
  </si>
  <si>
    <t>Pax River, MD</t>
  </si>
  <si>
    <t>Pearl Harbor, HI</t>
  </si>
  <si>
    <t>Pensacola, FL</t>
  </si>
  <si>
    <t>PMRF Barking Sands</t>
  </si>
  <si>
    <t>Port Hueneme, CA</t>
  </si>
  <si>
    <t>Portsmouth, NH</t>
  </si>
  <si>
    <t>Quantico, VA</t>
  </si>
  <si>
    <t>Rota, Spain</t>
  </si>
  <si>
    <t>San Diego, CA</t>
  </si>
  <si>
    <t>Sasebo, Japan</t>
  </si>
  <si>
    <t xml:space="preserve">Sasebo, Japan </t>
  </si>
  <si>
    <t>Souda Bay, Greece</t>
  </si>
  <si>
    <t>Tsurumi, Japan</t>
  </si>
  <si>
    <t>Twenty-nine Palms, CA</t>
  </si>
  <si>
    <t xml:space="preserve">Virginia Beach, VA </t>
  </si>
  <si>
    <t>Whidbey Island, WA</t>
  </si>
  <si>
    <t>Yokosuka, Japan</t>
  </si>
  <si>
    <t>Yorktown, VA</t>
  </si>
  <si>
    <t>(blank)</t>
  </si>
  <si>
    <t>Holiday</t>
  </si>
  <si>
    <t>Point Loma, CA</t>
  </si>
  <si>
    <t>Grand Total</t>
  </si>
  <si>
    <t>Date Canceled</t>
  </si>
  <si>
    <t>Course Title</t>
  </si>
  <si>
    <t xml:space="preserve">CDP </t>
  </si>
  <si>
    <t>Start Date</t>
  </si>
  <si>
    <t>End Date</t>
  </si>
  <si>
    <t>Resident Local Start Time of location</t>
  </si>
  <si>
    <t xml:space="preserve">EST/EDT Local Live Session Start Time </t>
  </si>
  <si>
    <t xml:space="preserve">PST/PDT Local Live Session Start Time </t>
  </si>
  <si>
    <t xml:space="preserve">AST Local Live Session Start Time </t>
  </si>
  <si>
    <t xml:space="preserve">CET/CEST Local Live Session Start Time </t>
  </si>
  <si>
    <t xml:space="preserve">HST Local Live Session Start Time </t>
  </si>
  <si>
    <t xml:space="preserve">JST Local Live Session Start Time </t>
  </si>
  <si>
    <t>Primary Instructor</t>
  </si>
  <si>
    <t>Instructor 2</t>
  </si>
  <si>
    <t>Quotas</t>
  </si>
  <si>
    <t>Course Length (Hours)</t>
  </si>
  <si>
    <t>Course Length (Days)</t>
  </si>
  <si>
    <t>FY25 Need</t>
  </si>
  <si>
    <t>Registered</t>
  </si>
  <si>
    <t>Waitlisted</t>
  </si>
  <si>
    <t>Graduates</t>
  </si>
  <si>
    <t>Fail</t>
  </si>
  <si>
    <t>Foreign Grads</t>
  </si>
  <si>
    <t>Roster Received By</t>
  </si>
  <si>
    <t>Roster Due</t>
  </si>
  <si>
    <t>Roster Status</t>
  </si>
  <si>
    <t>Remaining Courses</t>
  </si>
  <si>
    <t>0800</t>
  </si>
  <si>
    <t>Intro to IND HYG</t>
  </si>
  <si>
    <t>Singapore</t>
  </si>
  <si>
    <t xml:space="preserve">Fire Protection and Life Safety </t>
  </si>
  <si>
    <t>G. Jester</t>
  </si>
  <si>
    <t>Ownings Mills, MD</t>
  </si>
  <si>
    <t>Construction Safety</t>
  </si>
  <si>
    <t>A-493--0075</t>
  </si>
  <si>
    <t xml:space="preserve">Construction Safety Standards </t>
  </si>
  <si>
    <t>Days</t>
  </si>
  <si>
    <t>Hours</t>
  </si>
  <si>
    <t>Instructor #1</t>
  </si>
  <si>
    <t>Instructor #2</t>
  </si>
  <si>
    <t>Instructor #3</t>
  </si>
  <si>
    <t>Live Session Start Time ET</t>
  </si>
  <si>
    <t>Military Support</t>
  </si>
  <si>
    <t>Afloat Environmental Protection Coordinator (Resident)</t>
  </si>
  <si>
    <t xml:space="preserve"> A-4J-0021</t>
  </si>
  <si>
    <t xml:space="preserve"> 430U</t>
  </si>
  <si>
    <t>BMC Sosaya</t>
  </si>
  <si>
    <t>ABF3 Sherman</t>
  </si>
  <si>
    <t>LTJG Bozenski</t>
  </si>
  <si>
    <t>A.Hardy</t>
  </si>
  <si>
    <t>ABH3 Sutherland</t>
  </si>
  <si>
    <t>LT Andrew</t>
  </si>
  <si>
    <t>K. Seo</t>
  </si>
  <si>
    <t>Bearup, Angie</t>
  </si>
  <si>
    <t>ENV Contractor</t>
  </si>
  <si>
    <t>Benzick, Sue</t>
  </si>
  <si>
    <t>EMC Stroughn</t>
  </si>
  <si>
    <t>R. Hartel</t>
  </si>
  <si>
    <t>Baltimore, MD</t>
  </si>
  <si>
    <t>Carter, Amanda</t>
  </si>
  <si>
    <t>LSC Kitivi</t>
  </si>
  <si>
    <t>Weaver, Nicole</t>
  </si>
  <si>
    <t>LS1 Scoggins</t>
  </si>
  <si>
    <t>W. Bailey</t>
  </si>
  <si>
    <t>Bath, ME</t>
  </si>
  <si>
    <t>Kollie, Sarah</t>
  </si>
  <si>
    <t>EMN1 Stowe</t>
  </si>
  <si>
    <t>Gain 1</t>
  </si>
  <si>
    <t>Aviation Safety Specialist</t>
  </si>
  <si>
    <t>A-493-0065</t>
  </si>
  <si>
    <t>399A</t>
  </si>
  <si>
    <t>Gain 2</t>
  </si>
  <si>
    <t>Electrical Standards</t>
  </si>
  <si>
    <t>A-493-0033</t>
  </si>
  <si>
    <t>287A</t>
  </si>
  <si>
    <t>A. DeCastro</t>
  </si>
  <si>
    <t>Chinhae, Korea</t>
  </si>
  <si>
    <t>S. Griffin</t>
  </si>
  <si>
    <t>T. White</t>
  </si>
  <si>
    <t>V. Kentish</t>
  </si>
  <si>
    <t xml:space="preserve">Competent Person for Fall Protection Course (Global Online) </t>
  </si>
  <si>
    <t>ETVCS Zellman</t>
  </si>
  <si>
    <t xml:space="preserve">A-493-0075 </t>
  </si>
  <si>
    <t>FTC Sosa</t>
  </si>
  <si>
    <t>TMC Newman</t>
  </si>
  <si>
    <t>Hazardous Material Control and Management [HMC&amp;M] Technician (Resident)</t>
  </si>
  <si>
    <t>A-322-2600</t>
  </si>
  <si>
    <t>438D</t>
  </si>
  <si>
    <t>SOH Contractor</t>
  </si>
  <si>
    <t>A. Harris</t>
  </si>
  <si>
    <t>B. Jung</t>
  </si>
  <si>
    <t>J. Houston</t>
  </si>
  <si>
    <t>W. Mitchell</t>
  </si>
  <si>
    <t>Introduction to Industrial Hygiene for Safety Professionals (Resident)</t>
  </si>
  <si>
    <t>A-493-0035</t>
  </si>
  <si>
    <t>287C</t>
  </si>
  <si>
    <t>OH Contractor</t>
  </si>
  <si>
    <t>CDR Schaal</t>
  </si>
  <si>
    <t>Introduction to Naval Safety and Occupational Health (Resident)</t>
  </si>
  <si>
    <t>A-493-0050</t>
  </si>
  <si>
    <t>287T</t>
  </si>
  <si>
    <t>J. Wilson</t>
  </si>
  <si>
    <t>Kekaha, HI (Barking Sands)</t>
  </si>
  <si>
    <t xml:space="preserve">M. Bailey </t>
  </si>
  <si>
    <t>TBD</t>
  </si>
  <si>
    <t xml:space="preserve">NAVOSH Assessment Tools &amp; Strategies (Global Online) </t>
  </si>
  <si>
    <t>A-493-0889</t>
  </si>
  <si>
    <t>11C5</t>
  </si>
  <si>
    <t>CDR Schaal + CDR Barrus</t>
  </si>
  <si>
    <t>Kingsville, TX</t>
  </si>
  <si>
    <t>CDR Barrus</t>
  </si>
  <si>
    <t>MARFORRES</t>
  </si>
  <si>
    <t>Safety Managers Course</t>
  </si>
  <si>
    <t>A-4J-0019</t>
  </si>
  <si>
    <t>28SL/285M</t>
  </si>
  <si>
    <t>Marianas</t>
  </si>
  <si>
    <t>Safety Programs Afloat (Resident)</t>
  </si>
  <si>
    <t>A-493-2099</t>
  </si>
  <si>
    <t>438G</t>
  </si>
  <si>
    <t xml:space="preserve">Staff Training </t>
  </si>
  <si>
    <t>Staff</t>
  </si>
  <si>
    <t>MCAS New River, NC</t>
  </si>
  <si>
    <t>Submarine Safety Officer</t>
  </si>
  <si>
    <t>F-4J-0020</t>
  </si>
  <si>
    <t>961Z</t>
  </si>
  <si>
    <t>Misawa, Japan</t>
  </si>
  <si>
    <t>A-493-2017</t>
  </si>
  <si>
    <t>12x3</t>
  </si>
  <si>
    <t>NAVFAC MIDLANT</t>
  </si>
  <si>
    <t>Professional Development Symposium</t>
  </si>
  <si>
    <t>PDS</t>
  </si>
  <si>
    <t>New London, CT</t>
  </si>
  <si>
    <t>Classroom Reserved</t>
  </si>
  <si>
    <t>Reserved</t>
  </si>
  <si>
    <t xml:space="preserve">Reserved </t>
  </si>
  <si>
    <t>Command Function</t>
  </si>
  <si>
    <t>Function</t>
  </si>
  <si>
    <t>Norfolk, VA Other</t>
  </si>
  <si>
    <t>Oceana,VA</t>
  </si>
  <si>
    <t>Philadelphia, PA</t>
  </si>
  <si>
    <t>Point Mugu, CA</t>
  </si>
  <si>
    <t>Portsmouth, MA</t>
  </si>
  <si>
    <t>Portsmouth, VA</t>
  </si>
  <si>
    <t>Puget Sound Manchester, WA</t>
  </si>
  <si>
    <t>Puget Sound, WA</t>
  </si>
  <si>
    <t>Sam Houston, TX</t>
  </si>
  <si>
    <t>San Clemente Island, CA</t>
  </si>
  <si>
    <t>San Nicolas Island, CA</t>
  </si>
  <si>
    <t>Saratoga Springs, NY</t>
  </si>
  <si>
    <t>Seal Beach, CA</t>
  </si>
  <si>
    <t>Sigonella, Italy</t>
  </si>
  <si>
    <t>Tinker AFB, OK</t>
  </si>
  <si>
    <t>Ventura County, CA</t>
  </si>
  <si>
    <t>Washington, DC</t>
  </si>
  <si>
    <t>White Sands, NM</t>
  </si>
  <si>
    <t>Whiting Field, FL</t>
  </si>
  <si>
    <t>Yuma, AZ</t>
  </si>
  <si>
    <t>Details for Sum of Construction Safety Standards - Location/Course Title: Annapolis, MD</t>
  </si>
  <si>
    <t>Command</t>
  </si>
  <si>
    <t>Location/Course Title</t>
  </si>
  <si>
    <t>Asbestos Management Planner</t>
  </si>
  <si>
    <t>Competent Person for Fall Protection Course</t>
  </si>
  <si>
    <t xml:space="preserve">Confined Space Safety </t>
  </si>
  <si>
    <t>Facility Response Team Five Day</t>
  </si>
  <si>
    <t>Facility Response Team Three Day</t>
  </si>
  <si>
    <t>Fire Protection &amp; Life Safety</t>
  </si>
  <si>
    <t>Hazardous Substance Incident Response Management</t>
  </si>
  <si>
    <t>Hazardous Substance Incident Response Management  Refresher</t>
  </si>
  <si>
    <t xml:space="preserve">Incident Command System 300 </t>
  </si>
  <si>
    <t>Incident Command System 300 Refresher</t>
  </si>
  <si>
    <t xml:space="preserve">Incident Command System 400 </t>
  </si>
  <si>
    <t>Industrial Noise and Hearing Conservation Program</t>
  </si>
  <si>
    <t xml:space="preserve">Oil Hazardous Substance Spill Response Tabletop Exercise </t>
  </si>
  <si>
    <t>Tank Managers Course</t>
  </si>
  <si>
    <t>Totals</t>
  </si>
  <si>
    <t>USFF</t>
  </si>
  <si>
    <t>NAVFACSYSCOM</t>
  </si>
  <si>
    <t>CNIC HQ Environmental</t>
  </si>
  <si>
    <t>USMC</t>
  </si>
  <si>
    <t>NHHC</t>
  </si>
  <si>
    <t>NETC</t>
  </si>
  <si>
    <t>NAVSUP</t>
  </si>
  <si>
    <t>NAVSEA</t>
  </si>
  <si>
    <t>COMFRC</t>
  </si>
  <si>
    <t>COMPACFLT</t>
  </si>
  <si>
    <t>NAVSPECWARCOM</t>
  </si>
  <si>
    <t>BUMED</t>
  </si>
  <si>
    <t>Details for Sum of Competent Person for Fall Protection Course - Location/Course Title: Atsugi, Japan</t>
  </si>
  <si>
    <t>Details for Sum of AST (Arabian Standard Time) - Course Title/Preferred Time Zone: Occupational Health Program Manager (In Development)</t>
  </si>
  <si>
    <t>Course Title/Preferred Time Zone</t>
  </si>
  <si>
    <t>AST (Arabian Standard Time)</t>
  </si>
  <si>
    <t>CET/CEST (Central European Standard Time)</t>
  </si>
  <si>
    <t>EST/EDT (Eastern Standard Time)</t>
  </si>
  <si>
    <t>HST (Hawaii Standard Time)</t>
  </si>
  <si>
    <t>JST (Japan Standard Time)</t>
  </si>
  <si>
    <t>PST/PDT (Pacific Standard Time)</t>
  </si>
  <si>
    <t>CNIC HQ Safety</t>
  </si>
  <si>
    <t>Occupational Health Program Manager (In Development)</t>
  </si>
  <si>
    <t>Last Update</t>
  </si>
  <si>
    <t>Comments</t>
  </si>
  <si>
    <t>PG-LS1</t>
  </si>
  <si>
    <t>QTR 1 All Hands @0900</t>
  </si>
  <si>
    <t>Thanksgiving Potluck</t>
  </si>
  <si>
    <t>Christmas Function</t>
  </si>
  <si>
    <t>QTR 2All Hands @0900</t>
  </si>
  <si>
    <t>QTR 3 All Hands @0900/Potluck</t>
  </si>
  <si>
    <t>July 4th Function</t>
  </si>
  <si>
    <t>QTR 4 All Hands @0900</t>
  </si>
  <si>
    <t>PG-LCS</t>
  </si>
  <si>
    <t>Columbus Day</t>
  </si>
  <si>
    <t>Veterans Day</t>
  </si>
  <si>
    <t>Thanksgiving</t>
  </si>
  <si>
    <t>Christmas Day</t>
  </si>
  <si>
    <t>New Year's Day</t>
  </si>
  <si>
    <t>MLK Day</t>
  </si>
  <si>
    <t>Washington's Birthday</t>
  </si>
  <si>
    <t>Memorial Day</t>
  </si>
  <si>
    <t>Juneteenth</t>
  </si>
  <si>
    <t>Independence Day</t>
  </si>
  <si>
    <t>Labor Day</t>
  </si>
  <si>
    <t>PDS Prep Week</t>
  </si>
  <si>
    <t>PDS Week</t>
  </si>
  <si>
    <t>LTJG Andrew</t>
  </si>
  <si>
    <t>9/10/20245</t>
  </si>
  <si>
    <t>Need Location</t>
  </si>
  <si>
    <t>D. Rodriguez</t>
  </si>
  <si>
    <t>Seabees Gulfport special conveing</t>
  </si>
  <si>
    <t>Date Change</t>
  </si>
  <si>
    <t>Seabees Port Hueneme special conveing</t>
  </si>
  <si>
    <t xml:space="preserve">Seabees Gulfport special convening </t>
  </si>
  <si>
    <t>Last Update: 5/22/2024</t>
  </si>
  <si>
    <t>5/5/2025</t>
  </si>
  <si>
    <t>5/9/2025</t>
  </si>
  <si>
    <t>M. Lacayo</t>
  </si>
  <si>
    <t>Key West, FL (CNRSE)</t>
  </si>
  <si>
    <t>CFA YOKOSUKA</t>
  </si>
  <si>
    <t>Manchester, WA (CNRMA)</t>
  </si>
  <si>
    <t>6/23/205</t>
  </si>
  <si>
    <t>Naval Base Point Loma</t>
  </si>
  <si>
    <t>Naval Station Rota</t>
  </si>
  <si>
    <t>NSA Souda Bay</t>
  </si>
  <si>
    <t>MCB Hawaii</t>
  </si>
  <si>
    <t>MCAS Beaufort</t>
  </si>
  <si>
    <t>Andros, Bahamas (CNRSE)</t>
  </si>
  <si>
    <t>NAVSUP FLCS</t>
  </si>
  <si>
    <t>NAVSUP FLCY</t>
  </si>
  <si>
    <t>NAVSUP FLCY (1-2 &amp; 5 May)</t>
  </si>
  <si>
    <t>NAF Atsugi</t>
  </si>
  <si>
    <t>Norfolk Naval Shipyard (NCRMA)</t>
  </si>
  <si>
    <t>Virginia Beach, VA</t>
  </si>
  <si>
    <t>NSA Annapolis</t>
  </si>
  <si>
    <t>Kekaha, HI (Barking Sand)</t>
  </si>
  <si>
    <t xml:space="preserve">NBVC Port Hueneme </t>
  </si>
  <si>
    <t>NALF San Clemente Island</t>
  </si>
  <si>
    <t>NSA Gaeta</t>
  </si>
  <si>
    <t>MCAS Cherry Point</t>
  </si>
  <si>
    <t>Naval Support Facility Diego Garcia (UIC: N68539)</t>
  </si>
  <si>
    <t>Eastern Time Zone</t>
  </si>
  <si>
    <t>Central Europe Focused</t>
  </si>
  <si>
    <t>Pacific Time Zone Focused</t>
  </si>
  <si>
    <r>
      <t>Japan Time Zone Focused   (</t>
    </r>
    <r>
      <rPr>
        <sz val="11"/>
        <color rgb="FFFF0000"/>
        <rFont val="Calibri"/>
        <family val="2"/>
        <scheme val="minor"/>
      </rPr>
      <t>EDT 1900hr on 6/9/2025</t>
    </r>
    <r>
      <rPr>
        <sz val="11"/>
        <color rgb="FF000000"/>
        <rFont val="Calibri"/>
        <family val="2"/>
        <scheme val="minor"/>
      </rPr>
      <t>)</t>
    </r>
  </si>
  <si>
    <t>`</t>
  </si>
  <si>
    <t>Singapore Area Coordinator</t>
  </si>
  <si>
    <t>Yorktown NWS (NCRSE)</t>
  </si>
  <si>
    <t>Details for Sum of Incident Command System 300  - Location/Course Title: Corpus Christi, TX, Command: BUMED (+)</t>
  </si>
  <si>
    <t>Start of the FY 25</t>
  </si>
  <si>
    <t>Progress during FY 25</t>
  </si>
  <si>
    <t>Info</t>
  </si>
  <si>
    <t>Course Offerings</t>
  </si>
  <si>
    <t>Quota per Offering</t>
  </si>
  <si>
    <t>Planned Quotas</t>
  </si>
  <si>
    <t>Fleet Quota Need</t>
  </si>
  <si>
    <t>Difference</t>
  </si>
  <si>
    <t>%</t>
  </si>
  <si>
    <t>Total Registered</t>
  </si>
  <si>
    <t>Total Waitlisted</t>
  </si>
  <si>
    <t>Total Walk-in</t>
  </si>
  <si>
    <t>To date quotas unused (Open quotas+ no shows)</t>
  </si>
  <si>
    <t>Sunk Courses due to unused quotas todate</t>
  </si>
  <si>
    <t>Grads needed this FY towards planned quotas</t>
  </si>
  <si>
    <t># of course completion reports to be processed</t>
  </si>
  <si>
    <t># of courses remaining</t>
  </si>
  <si>
    <t>To date % of graduates towards Fleet Need</t>
  </si>
  <si>
    <t>% of available quotas used</t>
  </si>
  <si>
    <t>% of available quotas used counting in no shows</t>
  </si>
  <si>
    <t>Remaining FY25 QTR 3/QTR 4 Open Quotas</t>
  </si>
  <si>
    <t># of additional grads if all quotas are filled of course results remaining to be processed</t>
  </si>
  <si>
    <t>Difference between completed and fleet need of completed, potentially remaining quotas, and processed courses</t>
  </si>
  <si>
    <t>FS</t>
  </si>
  <si>
    <t>SOH</t>
  </si>
  <si>
    <t>100%%</t>
  </si>
  <si>
    <t>Row Labels</t>
  </si>
  <si>
    <t>Received by</t>
  </si>
  <si>
    <t>1</t>
  </si>
  <si>
    <t>2</t>
  </si>
  <si>
    <t>Open Quotas</t>
  </si>
  <si>
    <t>QTR</t>
  </si>
  <si>
    <t>SPECIAL CONVENING</t>
  </si>
  <si>
    <t>USMC special</t>
  </si>
  <si>
    <t>NFPA 101 POC: Chuck Gum</t>
  </si>
  <si>
    <t>Special convening for CVN 69</t>
  </si>
  <si>
    <t>SMT special convening</t>
  </si>
  <si>
    <t>Staff Training (RMI)</t>
  </si>
  <si>
    <t>TMC Newman/ ALDC</t>
  </si>
  <si>
    <t>Jimmy Carter</t>
  </si>
  <si>
    <t>Marines</t>
  </si>
  <si>
    <t>POC: Robert Stephenson (NSC)</t>
  </si>
  <si>
    <t>Classroom needed Marines</t>
  </si>
  <si>
    <t>28SL</t>
  </si>
  <si>
    <t>Staff Training (ELITE)</t>
  </si>
  <si>
    <t>USMC/SMT</t>
  </si>
  <si>
    <t>TMC Newman/ FLDC</t>
  </si>
  <si>
    <t>special convening for staff</t>
  </si>
  <si>
    <t>QTR 3 All Hands @1000/Potluck (Both Classrooms use)</t>
  </si>
  <si>
    <t xml:space="preserve">POC: NMCFHPC Darnell, Brett A </t>
  </si>
  <si>
    <t>POC: PWD Kate Sklat</t>
  </si>
  <si>
    <t>USMC Special Convening</t>
  </si>
  <si>
    <t>POC: GySgt Perez</t>
  </si>
  <si>
    <t>28SL/28SM</t>
  </si>
  <si>
    <t>Japan Time Zone Focused   (EDT 1900hr on 6/9/2025)</t>
  </si>
  <si>
    <t>POC EMC Stroughn</t>
  </si>
  <si>
    <t xml:space="preserve"> </t>
  </si>
  <si>
    <t>Quotas: All Data</t>
  </si>
  <si>
    <t>Courses Needed: All Data</t>
  </si>
  <si>
    <t>Column1</t>
  </si>
  <si>
    <t>FY24 Total Courses</t>
  </si>
  <si>
    <t>FY24 Quotas Per Course</t>
  </si>
  <si>
    <t>FY24 Grads</t>
  </si>
  <si>
    <t>FY24 Fails</t>
  </si>
  <si>
    <t>FY24 Average class size</t>
  </si>
  <si>
    <t>FY24 FLT Quota Need</t>
  </si>
  <si>
    <t>FY24 NSETC % towards fleet need</t>
  </si>
  <si>
    <t>Column2</t>
  </si>
  <si>
    <t>FY23 Total Courses</t>
  </si>
  <si>
    <t>FY23 Quotas Per Course</t>
  </si>
  <si>
    <t>FY23 Grads</t>
  </si>
  <si>
    <t>FY23 Fails</t>
  </si>
  <si>
    <t>FY23 Average class size</t>
  </si>
  <si>
    <t>FY23 FLT Quota Need</t>
  </si>
  <si>
    <t>FY23 NSETC % towards fleet need</t>
  </si>
  <si>
    <t>Column122</t>
  </si>
  <si>
    <t>FY22 Total Courses</t>
  </si>
  <si>
    <t>FY22 Quotas Per Course</t>
  </si>
  <si>
    <t>FY22 Grads</t>
  </si>
  <si>
    <t>FY22 Fails</t>
  </si>
  <si>
    <t>FY22 Average class size</t>
  </si>
  <si>
    <t>FY22 FLT Quota Need</t>
  </si>
  <si>
    <t>FY22 NSETC % towards fleet need</t>
  </si>
  <si>
    <t>Course2</t>
  </si>
  <si>
    <t>Submarine Safety Officer Global Online</t>
  </si>
  <si>
    <t>Afloat Environmental Protection Coordinator Global Online</t>
  </si>
  <si>
    <t>Aviation Safety Specialist Global Online</t>
  </si>
  <si>
    <t>Safety Programs Afloat Online</t>
  </si>
  <si>
    <t>General Industry Safety Standards</t>
  </si>
  <si>
    <t>Fall Protection Program Manager (Global Online)</t>
  </si>
  <si>
    <t>Hazardous Material Control and Management (HMC&amp;M) Technician Global Online</t>
  </si>
  <si>
    <t>Operational Risk Management Application &amp; Integration Course Global Online</t>
  </si>
  <si>
    <t>Mishap Investigation</t>
  </si>
  <si>
    <t>Introduction to Industrial Hygiene for Safety Professionals Global Online</t>
  </si>
  <si>
    <t>Introduction to Naval Safety and Occupational Health Global Online</t>
  </si>
  <si>
    <t xml:space="preserve">Introduction to Hazardous Materials (Ashore) Global Online </t>
  </si>
  <si>
    <t>Machinery &amp; Machine Guarding Standards</t>
  </si>
  <si>
    <t>Workplace Inspectors Course (In Development)</t>
  </si>
  <si>
    <t>As of 12 Oct 24 @ 1527</t>
  </si>
  <si>
    <t>Details for Sum of Facility Response Team Three Day - Location/Course Title: Andros, Bahamas (CNRSE ADDED), Command: BUMED (+)</t>
  </si>
  <si>
    <t>Andros, Bahamas (CNRSE ADDED)</t>
  </si>
  <si>
    <t> </t>
  </si>
  <si>
    <t>Details for Sum of Competent Person for Fall Protection Course - Location/Course Title: Pearl Harbor, HI, Command: BUMED (+)</t>
  </si>
  <si>
    <t>(All)</t>
  </si>
  <si>
    <t>Sum of AST (Arabian Standard Time)</t>
  </si>
  <si>
    <t>Sum of CET/CEST (Central European Standard Time)</t>
  </si>
  <si>
    <t>Sum of EST/EDT (Eastern Standard Time)</t>
  </si>
  <si>
    <t>Sum of HST (Hawaii Standard Time)</t>
  </si>
  <si>
    <t>Sum of JST (Japan Standard Time)</t>
  </si>
  <si>
    <t>Sum of PST/PDT (Pacific Standard Time)</t>
  </si>
  <si>
    <t>Course Totals</t>
  </si>
  <si>
    <t>Afloat Environmental Protection Coordinator (Global Online)</t>
  </si>
  <si>
    <t>Aviation Safety Specialist  (Global Online)</t>
  </si>
  <si>
    <t>General Industry Safety Standards  (Global Online)</t>
  </si>
  <si>
    <t>Hazardous Material Control and Management (HMC&amp;M) Technician  (Global Online)</t>
  </si>
  <si>
    <t>Introduction to Hazardous Materials Ashore  (Global Online)</t>
  </si>
  <si>
    <t>Introduction to Industrial Hygiene for Safety Professionals  (Global Online)</t>
  </si>
  <si>
    <t>Introduction to Naval Safety and Occupational Health (Global Online)</t>
  </si>
  <si>
    <t>Machinery &amp; Machine Guarding Standards  (Global Online)</t>
  </si>
  <si>
    <t>Mishap Investigation  (Global Online)</t>
  </si>
  <si>
    <t>Operational Risk Management Application &amp; Integration Course  (Global Online)</t>
  </si>
  <si>
    <t>Safety Managers Course (In Development)</t>
  </si>
  <si>
    <t>Safety Programs Afloat  (Global Online)</t>
  </si>
  <si>
    <t>Submarine Safety Officer  (Global Online)</t>
  </si>
  <si>
    <t>Details for Sum of Hazardous Substance Incident Response Management  Refresher - Location/Course Title: Norfolk, VA, Command: BUMED (+)</t>
  </si>
  <si>
    <t>Details for Sum of Hazardous Substance Incident Response Management  Refresher - Location/Course Title: Crane, IN, Command: BUMED (+)</t>
  </si>
  <si>
    <t>Column Labels</t>
  </si>
  <si>
    <t>Kekaha, HI</t>
  </si>
  <si>
    <t xml:space="preserve">Keyport, WA </t>
  </si>
  <si>
    <t>Kingsbay, GA</t>
  </si>
  <si>
    <t>Mid South, TN</t>
  </si>
  <si>
    <t>Patuxent River, MD</t>
  </si>
  <si>
    <t>Support Facility Diego Garcia</t>
  </si>
  <si>
    <t>Ventura, County (Point Mugu)</t>
  </si>
  <si>
    <t>Fallon, NV</t>
  </si>
  <si>
    <t xml:space="preserve">Baharin </t>
  </si>
  <si>
    <t xml:space="preserve">Naval Station Norfolk, VA </t>
  </si>
  <si>
    <t>Little Creek, VA Beach</t>
  </si>
  <si>
    <t>Oceana/Dam Neck, VA Beach</t>
  </si>
  <si>
    <t>Mechanicsburg, PA</t>
  </si>
  <si>
    <t>Deveselu, Romania</t>
  </si>
  <si>
    <t>Redzikowo, Poland</t>
  </si>
  <si>
    <t>Meridian, MS</t>
  </si>
  <si>
    <t>Fort Worth, TX</t>
  </si>
  <si>
    <t>China Lake, CA</t>
  </si>
  <si>
    <t>Kingsvile, TX</t>
  </si>
  <si>
    <t>Monterey, CA</t>
  </si>
  <si>
    <t>Manama Bahrain</t>
  </si>
  <si>
    <t>CLDJ, Djibouti</t>
  </si>
  <si>
    <t>China Lake (Ridgecrest), CA</t>
  </si>
  <si>
    <t>Rota, SP</t>
  </si>
  <si>
    <t>Twentynine Palms, CA</t>
  </si>
  <si>
    <t>Stuttgart Germany</t>
  </si>
  <si>
    <t>Setermoen Norway</t>
  </si>
  <si>
    <t>MCB Camp Pendleton, CA</t>
  </si>
  <si>
    <t>MCAS Miramar, CA</t>
  </si>
  <si>
    <t>29 Palms, CA</t>
  </si>
  <si>
    <t>MCAS Yuma, AZ</t>
  </si>
  <si>
    <t>MCB Hawaii, Kaneohe Bay, HI</t>
  </si>
  <si>
    <t>MCAS Iwakuni, Japan</t>
  </si>
  <si>
    <t>MCAS New River</t>
  </si>
  <si>
    <t>MCINCR-MCBQ-MCAF</t>
  </si>
  <si>
    <t>Blount Island (NAS Jax)</t>
  </si>
  <si>
    <t>Hachinohe, Japan (NAVSUP FLCY) ADDED</t>
  </si>
  <si>
    <t>Hakozaki, Japan (NAVSUP FLCY)</t>
  </si>
  <si>
    <t>Tsurumi, Japan (NAVSUP FLCY)</t>
  </si>
  <si>
    <t>Sasebo, Japan (NAVSUP FLCS)</t>
  </si>
  <si>
    <t>Manchester, WA (CNRMA ADDED)</t>
  </si>
  <si>
    <t>Yorktown NWS (CNRSE ADDED)</t>
  </si>
  <si>
    <t>Norfolk Naval Shipyard (CNRMA ADDED)</t>
  </si>
  <si>
    <t>Bahrain (EURAFCENT ADDED)</t>
  </si>
  <si>
    <t>Key West, FL (CNRSE ADDED)</t>
  </si>
  <si>
    <t>Meridian, MS (CNRSE ADDED)</t>
  </si>
  <si>
    <t>New Orleans, LA (CNRSE ADDED)</t>
  </si>
  <si>
    <t>Whiting Field, FL (CNRSE ADDED)</t>
  </si>
  <si>
    <t>Sum of Asbestos Inspector</t>
  </si>
  <si>
    <t>Sum of Asbestos Inspector Refresher</t>
  </si>
  <si>
    <t>Sum of Asbestos Management Planner</t>
  </si>
  <si>
    <t>Sum of Asbestos Management Planner Refresher</t>
  </si>
  <si>
    <t>Sum of Asbestos Supervisor Initial</t>
  </si>
  <si>
    <t>Sum of Asbestos Supervisor Refresher</t>
  </si>
  <si>
    <t>Sum of Competent Person for Fall Protection Course</t>
  </si>
  <si>
    <t xml:space="preserve">Sum of Confined Space Safety </t>
  </si>
  <si>
    <t>Sum of Construction Safety Standards</t>
  </si>
  <si>
    <t>Sum of Emergency Asbestos Response Team</t>
  </si>
  <si>
    <t>Sum of Facility Response Team Five Day</t>
  </si>
  <si>
    <t>Sum of Facility Response Team Three Day</t>
  </si>
  <si>
    <t>Sum of Hazardous Substance Incident Response Management</t>
  </si>
  <si>
    <t>Sum of Fire Protection &amp; Life Safety</t>
  </si>
  <si>
    <t>Sum of Hazardous Substance Incident Response Management  Refresher</t>
  </si>
  <si>
    <t xml:space="preserve">Sum of Incident Command System 300 </t>
  </si>
  <si>
    <t>Sum of Incident Command System 300 Refresher</t>
  </si>
  <si>
    <t xml:space="preserve">Sum of Incident Command System 400 </t>
  </si>
  <si>
    <t>Sum of Industrial Noise and Hearing Conservation Program</t>
  </si>
  <si>
    <t xml:space="preserve">Sum of Oil Hazardous Substance Spill Response Tabletop Exercise </t>
  </si>
  <si>
    <t>Sum of Respiratory Protection Program Management</t>
  </si>
  <si>
    <t>Sum of Tank Managers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</si>
</sst>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hhmm"/>
    <numFmt numFmtId="166" formatCode="0.0"/>
    <numFmt numFmtId="167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trike/>
      <sz val="11"/>
      <color rgb="FF000000"/>
      <name val="Calibri"/>
      <family val="2"/>
      <scheme val="minor"/>
    </font>
    <font>
      <sz val="11"/>
      <color rgb="FF242424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2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242424"/>
      <name val="Calibri"/>
      <family val="2"/>
      <charset val="1"/>
    </font>
    <font>
      <b/>
      <sz val="11"/>
      <color rgb="FF242424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6"/>
      </patternFill>
    </fill>
    <fill>
      <patternFill patternType="solid">
        <fgColor rgb="FFDDEBF7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4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pivotButton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Protection="1">
      <protection locked="0"/>
    </xf>
    <xf numFmtId="0" fontId="7" fillId="0" borderId="11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 vertical="center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10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6" fillId="5" borderId="10" xfId="1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0" fontId="6" fillId="6" borderId="3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center" vertical="center" wrapText="1"/>
    </xf>
    <xf numFmtId="10" fontId="6" fillId="6" borderId="7" xfId="0" applyNumberFormat="1" applyFont="1" applyFill="1" applyBorder="1" applyAlignment="1">
      <alignment horizontal="center" vertical="center" wrapText="1"/>
    </xf>
    <xf numFmtId="1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left" vertical="center" wrapText="1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10" fillId="5" borderId="17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3" fontId="10" fillId="6" borderId="21" xfId="0" applyNumberFormat="1" applyFont="1" applyFill="1" applyBorder="1" applyAlignment="1">
      <alignment horizontal="center" vertical="center"/>
    </xf>
    <xf numFmtId="3" fontId="10" fillId="4" borderId="20" xfId="0" applyNumberFormat="1" applyFont="1" applyFill="1" applyBorder="1" applyAlignment="1">
      <alignment horizontal="center" vertical="center"/>
    </xf>
    <xf numFmtId="9" fontId="10" fillId="5" borderId="17" xfId="1" applyFont="1" applyFill="1" applyBorder="1" applyAlignment="1">
      <alignment horizontal="center" vertical="center" wrapText="1"/>
    </xf>
    <xf numFmtId="9" fontId="10" fillId="6" borderId="21" xfId="1" applyFont="1" applyFill="1" applyBorder="1" applyAlignment="1">
      <alignment horizontal="center" vertical="center"/>
    </xf>
    <xf numFmtId="0" fontId="5" fillId="2" borderId="0" xfId="0" applyFont="1" applyFill="1"/>
    <xf numFmtId="9" fontId="0" fillId="2" borderId="0" xfId="1" applyFont="1" applyFill="1"/>
    <xf numFmtId="0" fontId="9" fillId="0" borderId="0" xfId="0" applyFont="1"/>
    <xf numFmtId="0" fontId="10" fillId="8" borderId="13" xfId="0" applyFont="1" applyFill="1" applyBorder="1" applyAlignment="1" applyProtection="1">
      <alignment horizontal="left" vertical="center" wrapText="1"/>
      <protection hidden="1"/>
    </xf>
    <xf numFmtId="0" fontId="2" fillId="9" borderId="22" xfId="0" applyFont="1" applyFill="1" applyBorder="1" applyAlignment="1">
      <alignment horizontal="left"/>
    </xf>
    <xf numFmtId="0" fontId="12" fillId="0" borderId="0" xfId="0" applyFont="1"/>
    <xf numFmtId="0" fontId="12" fillId="0" borderId="18" xfId="0" applyFont="1" applyBorder="1"/>
    <xf numFmtId="14" fontId="12" fillId="0" borderId="0" xfId="0" applyNumberFormat="1" applyFont="1" applyAlignment="1">
      <alignment horizontal="center"/>
    </xf>
    <xf numFmtId="0" fontId="12" fillId="0" borderId="22" xfId="0" applyFont="1" applyBorder="1"/>
    <xf numFmtId="0" fontId="2" fillId="0" borderId="0" xfId="0" applyFont="1" applyAlignment="1">
      <alignment horizontal="center"/>
    </xf>
    <xf numFmtId="1" fontId="9" fillId="0" borderId="0" xfId="0" applyNumberFormat="1" applyFont="1" applyAlignment="1">
      <alignment horizontal="right"/>
    </xf>
    <xf numFmtId="0" fontId="7" fillId="0" borderId="19" xfId="0" applyFont="1" applyBorder="1" applyAlignment="1" applyProtection="1">
      <alignment horizontal="center" vertical="center" wrapText="1"/>
      <protection hidden="1"/>
    </xf>
    <xf numFmtId="14" fontId="13" fillId="0" borderId="23" xfId="0" applyNumberFormat="1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hidden="1"/>
    </xf>
    <xf numFmtId="0" fontId="0" fillId="2" borderId="0" xfId="0" applyFill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10" borderId="3" xfId="0" applyFill="1" applyBorder="1"/>
    <xf numFmtId="0" fontId="7" fillId="10" borderId="3" xfId="0" applyFont="1" applyFill="1" applyBorder="1" applyAlignment="1" applyProtection="1">
      <alignment horizontal="center" vertical="center" wrapText="1"/>
      <protection hidden="1"/>
    </xf>
    <xf numFmtId="0" fontId="10" fillId="5" borderId="31" xfId="0" applyFont="1" applyFill="1" applyBorder="1" applyAlignment="1">
      <alignment horizontal="center" vertical="center" wrapText="1"/>
    </xf>
    <xf numFmtId="3" fontId="10" fillId="6" borderId="32" xfId="0" applyNumberFormat="1" applyFont="1" applyFill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/>
    </xf>
    <xf numFmtId="9" fontId="0" fillId="0" borderId="3" xfId="1" applyFont="1" applyFill="1" applyBorder="1"/>
    <xf numFmtId="0" fontId="2" fillId="0" borderId="0" xfId="0" applyFont="1" applyAlignment="1" applyProtection="1">
      <alignment horizontal="left" vertical="center"/>
      <protection hidden="1"/>
    </xf>
    <xf numFmtId="0" fontId="10" fillId="5" borderId="0" xfId="0" applyFont="1" applyFill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/>
      <protection hidden="1"/>
    </xf>
    <xf numFmtId="0" fontId="10" fillId="8" borderId="3" xfId="0" applyFont="1" applyFill="1" applyBorder="1" applyAlignment="1" applyProtection="1">
      <alignment horizontal="left" vertical="center"/>
      <protection hidden="1"/>
    </xf>
    <xf numFmtId="0" fontId="0" fillId="2" borderId="3" xfId="0" applyFill="1" applyBorder="1"/>
    <xf numFmtId="0" fontId="10" fillId="5" borderId="31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10" fontId="0" fillId="0" borderId="3" xfId="1" applyNumberFormat="1" applyFont="1" applyFill="1" applyBorder="1"/>
    <xf numFmtId="14" fontId="12" fillId="0" borderId="18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quotePrefix="1" applyNumberFormat="1" applyFont="1" applyAlignment="1">
      <alignment horizontal="center" vertical="center"/>
    </xf>
    <xf numFmtId="1" fontId="9" fillId="0" borderId="0" xfId="0" applyNumberFormat="1" applyFont="1" applyAlignment="1">
      <alignment horizontal="right" vertical="center"/>
    </xf>
    <xf numFmtId="14" fontId="9" fillId="0" borderId="1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14" fontId="12" fillId="0" borderId="0" xfId="0" applyNumberFormat="1" applyFont="1" applyAlignment="1">
      <alignment horizontal="center" wrapText="1"/>
    </xf>
    <xf numFmtId="0" fontId="9" fillId="0" borderId="18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4" fontId="9" fillId="0" borderId="25" xfId="0" applyNumberFormat="1" applyFont="1" applyBorder="1" applyAlignment="1">
      <alignment horizontal="center" vertical="center"/>
    </xf>
    <xf numFmtId="14" fontId="9" fillId="0" borderId="26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vertical="center"/>
    </xf>
    <xf numFmtId="0" fontId="9" fillId="0" borderId="18" xfId="0" applyFont="1" applyBorder="1" applyAlignment="1">
      <alignment horizontal="left" vertical="center" wrapText="1"/>
    </xf>
    <xf numFmtId="0" fontId="9" fillId="0" borderId="3" xfId="0" applyFont="1" applyBorder="1"/>
    <xf numFmtId="0" fontId="9" fillId="0" borderId="18" xfId="0" applyFont="1" applyBorder="1" applyAlignment="1">
      <alignment horizontal="left" vertical="center"/>
    </xf>
    <xf numFmtId="0" fontId="12" fillId="0" borderId="3" xfId="0" applyFont="1" applyBorder="1"/>
    <xf numFmtId="0" fontId="9" fillId="0" borderId="18" xfId="0" applyFont="1" applyBorder="1"/>
    <xf numFmtId="14" fontId="12" fillId="0" borderId="18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/>
    </xf>
    <xf numFmtId="14" fontId="9" fillId="0" borderId="22" xfId="0" applyNumberFormat="1" applyFont="1" applyBorder="1" applyAlignment="1">
      <alignment horizontal="center" vertical="center"/>
    </xf>
    <xf numFmtId="0" fontId="17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 vertical="center" wrapText="1"/>
    </xf>
    <xf numFmtId="14" fontId="9" fillId="0" borderId="0" xfId="0" applyNumberFormat="1" applyFont="1" applyAlignment="1" applyProtection="1">
      <alignment horizontal="right" vertical="center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18" fillId="0" borderId="0" xfId="0" applyFont="1"/>
    <xf numFmtId="0" fontId="9" fillId="0" borderId="27" xfId="0" applyFont="1" applyBorder="1" applyAlignment="1">
      <alignment horizontal="left"/>
    </xf>
    <xf numFmtId="0" fontId="9" fillId="0" borderId="27" xfId="0" applyFont="1" applyBorder="1" applyAlignment="1">
      <alignment horizontal="center" vertical="center"/>
    </xf>
    <xf numFmtId="14" fontId="9" fillId="0" borderId="27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center" vertical="center"/>
    </xf>
    <xf numFmtId="0" fontId="9" fillId="11" borderId="0" xfId="0" applyFont="1" applyFill="1"/>
    <xf numFmtId="0" fontId="9" fillId="11" borderId="0" xfId="0" applyFont="1" applyFill="1" applyAlignment="1">
      <alignment horizontal="left"/>
    </xf>
    <xf numFmtId="0" fontId="9" fillId="11" borderId="0" xfId="0" applyFont="1" applyFill="1" applyAlignment="1">
      <alignment horizontal="center" vertical="center"/>
    </xf>
    <xf numFmtId="14" fontId="12" fillId="11" borderId="0" xfId="0" applyNumberFormat="1" applyFont="1" applyFill="1" applyAlignment="1">
      <alignment horizontal="center"/>
    </xf>
    <xf numFmtId="14" fontId="9" fillId="11" borderId="0" xfId="0" applyNumberFormat="1" applyFont="1" applyFill="1" applyAlignment="1">
      <alignment horizontal="center" vertical="center"/>
    </xf>
    <xf numFmtId="165" fontId="12" fillId="11" borderId="0" xfId="0" applyNumberFormat="1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20" fontId="9" fillId="0" borderId="0" xfId="0" applyNumberFormat="1" applyFont="1" applyAlignment="1">
      <alignment horizontal="center" vertical="center"/>
    </xf>
    <xf numFmtId="14" fontId="12" fillId="2" borderId="0" xfId="0" applyNumberFormat="1" applyFont="1" applyFill="1" applyAlignment="1">
      <alignment horizontal="center"/>
    </xf>
    <xf numFmtId="14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3" fillId="0" borderId="0" xfId="0" applyFont="1"/>
    <xf numFmtId="14" fontId="0" fillId="0" borderId="0" xfId="0" applyNumberFormat="1" applyAlignment="1">
      <alignment horizontal="center" vertical="center"/>
    </xf>
    <xf numFmtId="165" fontId="23" fillId="0" borderId="0" xfId="0" applyNumberFormat="1" applyFont="1" applyAlignment="1">
      <alignment horizontal="center"/>
    </xf>
    <xf numFmtId="165" fontId="9" fillId="0" borderId="0" xfId="0" applyNumberFormat="1" applyFont="1" applyAlignment="1" applyProtection="1">
      <alignment horizontal="center" vertical="center"/>
      <protection locked="0"/>
    </xf>
    <xf numFmtId="165" fontId="24" fillId="0" borderId="0" xfId="0" applyNumberFormat="1" applyFont="1" applyAlignment="1">
      <alignment horizontal="center" vertical="center"/>
    </xf>
    <xf numFmtId="0" fontId="9" fillId="0" borderId="27" xfId="0" applyFont="1" applyBorder="1"/>
    <xf numFmtId="0" fontId="9" fillId="0" borderId="27" xfId="0" applyFont="1" applyBorder="1" applyAlignment="1">
      <alignment horizontal="center"/>
    </xf>
    <xf numFmtId="14" fontId="23" fillId="0" borderId="0" xfId="0" applyNumberFormat="1" applyFont="1" applyAlignment="1">
      <alignment horizontal="center"/>
    </xf>
    <xf numFmtId="0" fontId="12" fillId="2" borderId="0" xfId="0" applyFont="1" applyFill="1"/>
    <xf numFmtId="1" fontId="9" fillId="2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right"/>
    </xf>
    <xf numFmtId="165" fontId="9" fillId="2" borderId="0" xfId="0" quotePrefix="1" applyNumberFormat="1" applyFont="1" applyFill="1" applyAlignment="1">
      <alignment horizontal="center" vertical="center"/>
    </xf>
    <xf numFmtId="0" fontId="9" fillId="2" borderId="18" xfId="0" applyFont="1" applyFill="1" applyBorder="1" applyAlignment="1">
      <alignment horizontal="left"/>
    </xf>
    <xf numFmtId="0" fontId="7" fillId="12" borderId="9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4" fillId="0" borderId="3" xfId="0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3" fontId="5" fillId="16" borderId="34" xfId="0" applyNumberFormat="1" applyFont="1" applyFill="1" applyBorder="1" applyAlignment="1">
      <alignment horizontal="center"/>
    </xf>
    <xf numFmtId="3" fontId="5" fillId="2" borderId="34" xfId="0" applyNumberFormat="1" applyFont="1" applyFill="1" applyBorder="1" applyAlignment="1">
      <alignment horizontal="center"/>
    </xf>
    <xf numFmtId="0" fontId="25" fillId="0" borderId="3" xfId="0" applyFont="1" applyBorder="1" applyAlignment="1">
      <alignment horizontal="left"/>
    </xf>
    <xf numFmtId="0" fontId="25" fillId="15" borderId="3" xfId="0" applyFont="1" applyFill="1" applyBorder="1" applyAlignment="1">
      <alignment horizontal="left"/>
    </xf>
    <xf numFmtId="0" fontId="26" fillId="2" borderId="33" xfId="0" applyFont="1" applyFill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25" fillId="14" borderId="19" xfId="0" applyFont="1" applyFill="1" applyBorder="1" applyAlignment="1">
      <alignment horizontal="left"/>
    </xf>
    <xf numFmtId="0" fontId="26" fillId="2" borderId="34" xfId="0" applyFont="1" applyFill="1" applyBorder="1" applyAlignment="1">
      <alignment horizontal="left"/>
    </xf>
    <xf numFmtId="1" fontId="10" fillId="6" borderId="21" xfId="2" applyNumberFormat="1" applyFont="1" applyFill="1" applyBorder="1" applyAlignment="1">
      <alignment horizontal="center"/>
    </xf>
    <xf numFmtId="1" fontId="10" fillId="4" borderId="20" xfId="2" applyNumberFormat="1" applyFont="1" applyFill="1" applyBorder="1" applyAlignment="1">
      <alignment horizontal="center" vertical="center"/>
    </xf>
    <xf numFmtId="3" fontId="0" fillId="17" borderId="3" xfId="0" applyNumberForma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3" fontId="0" fillId="0" borderId="0" xfId="0" applyNumberFormat="1"/>
    <xf numFmtId="1" fontId="9" fillId="0" borderId="0" xfId="0" applyNumberFormat="1" applyFont="1" applyAlignment="1">
      <alignment horizontal="center" vertical="center" wrapText="1"/>
    </xf>
    <xf numFmtId="3" fontId="5" fillId="18" borderId="34" xfId="0" applyNumberFormat="1" applyFont="1" applyFill="1" applyBorder="1" applyAlignment="1">
      <alignment horizontal="center"/>
    </xf>
    <xf numFmtId="0" fontId="0" fillId="0" borderId="3" xfId="0" applyBorder="1" applyAlignment="1">
      <alignment wrapText="1"/>
    </xf>
    <xf numFmtId="0" fontId="5" fillId="19" borderId="3" xfId="0" applyFont="1" applyFill="1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3" xfId="0" applyNumberFormat="1" applyBorder="1"/>
    <xf numFmtId="1" fontId="5" fillId="19" borderId="3" xfId="0" applyNumberFormat="1" applyFont="1" applyFill="1" applyBorder="1"/>
    <xf numFmtId="1" fontId="0" fillId="0" borderId="0" xfId="0" applyNumberFormat="1"/>
    <xf numFmtId="0" fontId="0" fillId="0" borderId="3" xfId="0" applyBorder="1" applyAlignment="1">
      <alignment textRotation="90"/>
    </xf>
    <xf numFmtId="0" fontId="0" fillId="0" borderId="0" xfId="0" applyAlignment="1">
      <alignment textRotation="90"/>
    </xf>
    <xf numFmtId="0" fontId="5" fillId="20" borderId="12" xfId="0" applyFont="1" applyFill="1" applyBorder="1" applyAlignment="1">
      <alignment textRotation="90"/>
    </xf>
    <xf numFmtId="0" fontId="5" fillId="20" borderId="12" xfId="0" applyFont="1" applyFill="1" applyBorder="1"/>
    <xf numFmtId="0" fontId="5" fillId="0" borderId="12" xfId="0" applyFont="1" applyBorder="1"/>
    <xf numFmtId="0" fontId="5" fillId="19" borderId="3" xfId="0" applyFont="1" applyFill="1" applyBorder="1" applyAlignment="1">
      <alignment horizontal="left"/>
    </xf>
    <xf numFmtId="0" fontId="25" fillId="0" borderId="12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 wrapText="1"/>
    </xf>
    <xf numFmtId="166" fontId="0" fillId="0" borderId="7" xfId="0" applyNumberFormat="1" applyBorder="1" applyAlignment="1">
      <alignment horizontal="center" wrapText="1"/>
    </xf>
    <xf numFmtId="3" fontId="0" fillId="2" borderId="3" xfId="0" applyNumberFormat="1" applyFill="1" applyBorder="1" applyAlignment="1">
      <alignment horizontal="center" wrapText="1"/>
    </xf>
    <xf numFmtId="10" fontId="0" fillId="0" borderId="3" xfId="0" applyNumberFormat="1" applyBorder="1" applyAlignment="1">
      <alignment horizontal="center" wrapText="1"/>
    </xf>
    <xf numFmtId="3" fontId="0" fillId="3" borderId="19" xfId="0" applyNumberFormat="1" applyFill="1" applyBorder="1" applyAlignment="1">
      <alignment horizontal="center" wrapText="1"/>
    </xf>
    <xf numFmtId="166" fontId="0" fillId="3" borderId="36" xfId="0" applyNumberFormat="1" applyFill="1" applyBorder="1" applyAlignment="1">
      <alignment horizontal="center" wrapText="1"/>
    </xf>
    <xf numFmtId="166" fontId="27" fillId="10" borderId="0" xfId="0" applyNumberFormat="1" applyFont="1" applyFill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7" fillId="2" borderId="9" xfId="0" applyFont="1" applyFill="1" applyBorder="1" applyAlignment="1" applyProtection="1">
      <alignment horizontal="center" wrapText="1"/>
      <protection hidden="1"/>
    </xf>
    <xf numFmtId="0" fontId="7" fillId="0" borderId="9" xfId="0" applyFont="1" applyBorder="1" applyAlignment="1" applyProtection="1">
      <alignment horizontal="center" wrapText="1"/>
      <protection hidden="1"/>
    </xf>
    <xf numFmtId="2" fontId="0" fillId="22" borderId="3" xfId="0" applyNumberFormat="1" applyFill="1" applyBorder="1" applyAlignment="1">
      <alignment horizontal="center" wrapText="1"/>
    </xf>
    <xf numFmtId="2" fontId="0" fillId="14" borderId="3" xfId="0" applyNumberFormat="1" applyFill="1" applyBorder="1" applyAlignment="1">
      <alignment horizontal="center" wrapText="1"/>
    </xf>
    <xf numFmtId="166" fontId="2" fillId="10" borderId="0" xfId="0" applyNumberFormat="1" applyFont="1" applyFill="1" applyAlignment="1">
      <alignment horizontal="center" wrapText="1"/>
    </xf>
    <xf numFmtId="1" fontId="0" fillId="2" borderId="3" xfId="0" applyNumberFormat="1" applyFill="1" applyBorder="1" applyAlignment="1">
      <alignment horizontal="center" wrapText="1"/>
    </xf>
    <xf numFmtId="1" fontId="0" fillId="12" borderId="3" xfId="0" applyNumberFormat="1" applyFill="1" applyBorder="1" applyAlignment="1">
      <alignment horizontal="center" wrapText="1"/>
    </xf>
    <xf numFmtId="2" fontId="0" fillId="15" borderId="3" xfId="0" applyNumberFormat="1" applyFill="1" applyBorder="1" applyAlignment="1">
      <alignment horizontal="center" wrapText="1"/>
    </xf>
    <xf numFmtId="1" fontId="0" fillId="12" borderId="36" xfId="0" applyNumberForma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5" fillId="14" borderId="19" xfId="0" applyFont="1" applyFill="1" applyBorder="1" applyAlignment="1">
      <alignment horizontal="center" wrapText="1"/>
    </xf>
    <xf numFmtId="167" fontId="0" fillId="2" borderId="3" xfId="0" applyNumberFormat="1" applyFill="1" applyBorder="1" applyAlignment="1">
      <alignment horizontal="center" wrapText="1"/>
    </xf>
    <xf numFmtId="0" fontId="25" fillId="15" borderId="12" xfId="0" applyFont="1" applyFill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164" fontId="0" fillId="0" borderId="3" xfId="0" applyNumberFormat="1" applyBorder="1"/>
    <xf numFmtId="164" fontId="0" fillId="0" borderId="3" xfId="1" applyNumberFormat="1" applyFont="1" applyBorder="1" applyAlignment="1">
      <alignment horizontal="center" wrapText="1"/>
    </xf>
    <xf numFmtId="49" fontId="25" fillId="0" borderId="3" xfId="0" applyNumberFormat="1" applyFont="1" applyBorder="1" applyAlignment="1">
      <alignment horizontal="center" wrapText="1"/>
    </xf>
    <xf numFmtId="9" fontId="0" fillId="0" borderId="3" xfId="1" applyFont="1" applyBorder="1" applyAlignment="1">
      <alignment horizontal="center" wrapText="1"/>
    </xf>
    <xf numFmtId="1" fontId="7" fillId="0" borderId="9" xfId="0" applyNumberFormat="1" applyFont="1" applyBorder="1" applyAlignment="1" applyProtection="1">
      <alignment horizontal="center" wrapText="1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1" fontId="7" fillId="0" borderId="3" xfId="0" applyNumberFormat="1" applyFont="1" applyBorder="1" applyAlignment="1" applyProtection="1">
      <alignment horizontal="center" wrapText="1"/>
      <protection hidden="1"/>
    </xf>
    <xf numFmtId="164" fontId="0" fillId="0" borderId="3" xfId="1" applyNumberFormat="1" applyFont="1" applyBorder="1"/>
    <xf numFmtId="9" fontId="0" fillId="0" borderId="3" xfId="0" applyNumberFormat="1" applyBorder="1" applyAlignment="1">
      <alignment horizontal="center" wrapText="1"/>
    </xf>
    <xf numFmtId="0" fontId="7" fillId="2" borderId="3" xfId="0" applyFont="1" applyFill="1" applyBorder="1" applyAlignment="1" applyProtection="1">
      <alignment horizontal="center" wrapText="1"/>
      <protection hidden="1"/>
    </xf>
    <xf numFmtId="3" fontId="0" fillId="0" borderId="8" xfId="0" applyNumberFormat="1" applyBorder="1" applyAlignment="1">
      <alignment horizontal="center" wrapText="1"/>
    </xf>
    <xf numFmtId="10" fontId="0" fillId="0" borderId="8" xfId="0" applyNumberFormat="1" applyBorder="1" applyAlignment="1">
      <alignment horizontal="center" wrapText="1"/>
    </xf>
    <xf numFmtId="0" fontId="25" fillId="0" borderId="28" xfId="0" applyFont="1" applyBorder="1" applyAlignment="1">
      <alignment horizontal="center" wrapText="1"/>
    </xf>
    <xf numFmtId="0" fontId="25" fillId="0" borderId="29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3" fontId="0" fillId="0" borderId="39" xfId="0" applyNumberForma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6" fontId="0" fillId="0" borderId="8" xfId="0" applyNumberFormat="1" applyBorder="1" applyAlignment="1">
      <alignment horizontal="center" wrapText="1"/>
    </xf>
    <xf numFmtId="3" fontId="0" fillId="3" borderId="40" xfId="0" applyNumberFormat="1" applyFill="1" applyBorder="1" applyAlignment="1">
      <alignment horizontal="center" wrapText="1"/>
    </xf>
    <xf numFmtId="166" fontId="0" fillId="3" borderId="10" xfId="0" applyNumberFormat="1" applyFill="1" applyBorder="1" applyAlignment="1">
      <alignment horizontal="center" wrapText="1"/>
    </xf>
    <xf numFmtId="1" fontId="0" fillId="2" borderId="8" xfId="0" applyNumberFormat="1" applyFill="1" applyBorder="1" applyAlignment="1">
      <alignment horizontal="center" wrapText="1"/>
    </xf>
    <xf numFmtId="1" fontId="0" fillId="12" borderId="8" xfId="0" applyNumberFormat="1" applyFill="1" applyBorder="1" applyAlignment="1">
      <alignment horizontal="center" wrapText="1"/>
    </xf>
    <xf numFmtId="166" fontId="0" fillId="15" borderId="8" xfId="0" applyNumberFormat="1" applyFill="1" applyBorder="1" applyAlignment="1">
      <alignment horizontal="center" wrapText="1"/>
    </xf>
    <xf numFmtId="1" fontId="0" fillId="12" borderId="9" xfId="0" applyNumberFormat="1" applyFill="1" applyBorder="1" applyAlignment="1">
      <alignment horizontal="center" wrapText="1"/>
    </xf>
    <xf numFmtId="0" fontId="25" fillId="2" borderId="41" xfId="0" applyFont="1" applyFill="1" applyBorder="1" applyAlignment="1">
      <alignment horizontal="center" wrapText="1"/>
    </xf>
    <xf numFmtId="0" fontId="25" fillId="2" borderId="42" xfId="0" applyFont="1" applyFill="1" applyBorder="1" applyAlignment="1">
      <alignment horizontal="center" wrapText="1"/>
    </xf>
    <xf numFmtId="3" fontId="0" fillId="17" borderId="42" xfId="0" applyNumberFormat="1" applyFill="1" applyBorder="1" applyAlignment="1">
      <alignment horizontal="center" wrapText="1"/>
    </xf>
    <xf numFmtId="3" fontId="0" fillId="2" borderId="42" xfId="0" applyNumberFormat="1" applyFill="1" applyBorder="1" applyAlignment="1">
      <alignment horizontal="center" wrapText="1"/>
    </xf>
    <xf numFmtId="3" fontId="0" fillId="6" borderId="42" xfId="0" applyNumberFormat="1" applyFill="1" applyBorder="1" applyAlignment="1">
      <alignment horizontal="center" wrapText="1"/>
    </xf>
    <xf numFmtId="3" fontId="27" fillId="10" borderId="43" xfId="0" applyNumberFormat="1" applyFont="1" applyFill="1" applyBorder="1" applyAlignment="1">
      <alignment horizontal="center" wrapText="1"/>
    </xf>
    <xf numFmtId="3" fontId="0" fillId="17" borderId="3" xfId="0" applyNumberFormat="1" applyFill="1" applyBorder="1" applyAlignment="1">
      <alignment horizontal="center" wrapText="1"/>
    </xf>
    <xf numFmtId="3" fontId="2" fillId="10" borderId="43" xfId="0" applyNumberFormat="1" applyFont="1" applyFill="1" applyBorder="1" applyAlignment="1">
      <alignment horizontal="center" wrapText="1"/>
    </xf>
    <xf numFmtId="166" fontId="0" fillId="2" borderId="3" xfId="0" applyNumberFormat="1" applyFill="1" applyBorder="1" applyAlignment="1">
      <alignment horizontal="center" wrapText="1"/>
    </xf>
    <xf numFmtId="0" fontId="0" fillId="2" borderId="44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1" fontId="0" fillId="0" borderId="0" xfId="0" applyNumberFormat="1" applyAlignment="1">
      <alignment wrapText="1"/>
    </xf>
    <xf numFmtId="0" fontId="0" fillId="23" borderId="3" xfId="0" applyFill="1" applyBorder="1" applyAlignment="1">
      <alignment textRotation="90"/>
    </xf>
    <xf numFmtId="0" fontId="0" fillId="23" borderId="29" xfId="0" applyFill="1" applyBorder="1" applyAlignment="1">
      <alignment textRotation="90"/>
    </xf>
    <xf numFmtId="0" fontId="0" fillId="23" borderId="8" xfId="0" applyFill="1" applyBorder="1" applyAlignment="1">
      <alignment textRotation="90"/>
    </xf>
    <xf numFmtId="0" fontId="0" fillId="23" borderId="18" xfId="0" applyFill="1" applyBorder="1" applyAlignment="1">
      <alignment textRotation="90"/>
    </xf>
    <xf numFmtId="0" fontId="0" fillId="23" borderId="0" xfId="0" applyFill="1" applyAlignment="1">
      <alignment textRotation="90"/>
    </xf>
    <xf numFmtId="3" fontId="7" fillId="0" borderId="9" xfId="0" applyNumberFormat="1" applyFont="1" applyBorder="1" applyAlignment="1" applyProtection="1">
      <alignment horizontal="center" vertical="center" wrapText="1"/>
      <protection hidden="1"/>
    </xf>
    <xf numFmtId="9" fontId="7" fillId="0" borderId="3" xfId="1" applyFont="1" applyFill="1" applyBorder="1" applyAlignment="1" applyProtection="1">
      <alignment horizontal="center" vertical="center" wrapText="1"/>
      <protection hidden="1"/>
    </xf>
    <xf numFmtId="0" fontId="7" fillId="0" borderId="36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left"/>
    </xf>
    <xf numFmtId="1" fontId="9" fillId="3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right"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/>
    <xf numFmtId="0" fontId="6" fillId="7" borderId="19" xfId="0" applyFont="1" applyFill="1" applyBorder="1" applyAlignment="1">
      <alignment horizontal="center" vertical="center" wrapText="1"/>
    </xf>
    <xf numFmtId="15" fontId="2" fillId="0" borderId="0" xfId="0" applyNumberFormat="1" applyFont="1" applyAlignment="1" applyProtection="1">
      <alignment horizontal="left" vertical="center" wrapText="1"/>
      <protection hidden="1"/>
    </xf>
    <xf numFmtId="0" fontId="0" fillId="0" borderId="19" xfId="0" applyBorder="1" applyAlignment="1">
      <alignment horizontal="center" wrapText="1"/>
    </xf>
    <xf numFmtId="0" fontId="28" fillId="12" borderId="18" xfId="0" applyFont="1" applyFill="1" applyBorder="1" applyAlignment="1">
      <alignment horizontal="center" wrapText="1"/>
    </xf>
    <xf numFmtId="0" fontId="28" fillId="0" borderId="18" xfId="0" applyFont="1" applyBorder="1" applyAlignment="1">
      <alignment horizontal="center" wrapText="1"/>
    </xf>
    <xf numFmtId="3" fontId="0" fillId="2" borderId="8" xfId="0" applyNumberForma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0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13" borderId="6" xfId="0" applyFont="1" applyFill="1" applyBorder="1" applyAlignment="1">
      <alignment horizontal="center" vertical="top" wrapText="1"/>
    </xf>
    <xf numFmtId="0" fontId="6" fillId="18" borderId="37" xfId="0" applyFont="1" applyFill="1" applyBorder="1" applyAlignment="1">
      <alignment horizontal="center" vertical="top" wrapText="1"/>
    </xf>
    <xf numFmtId="0" fontId="6" fillId="18" borderId="38" xfId="0" applyFont="1" applyFill="1" applyBorder="1" applyAlignment="1">
      <alignment horizontal="center" vertical="top" wrapText="1"/>
    </xf>
    <xf numFmtId="0" fontId="6" fillId="10" borderId="0" xfId="0" applyFont="1" applyFill="1" applyAlignment="1">
      <alignment horizontal="center" vertical="top" wrapText="1"/>
    </xf>
    <xf numFmtId="0" fontId="6" fillId="21" borderId="35" xfId="0" applyFont="1" applyFill="1" applyBorder="1" applyAlignment="1">
      <alignment horizontal="center" vertical="top" wrapText="1"/>
    </xf>
    <xf numFmtId="0" fontId="6" fillId="21" borderId="5" xfId="0" applyFont="1" applyFill="1" applyBorder="1" applyAlignment="1">
      <alignment horizontal="center" vertical="top" wrapText="1"/>
    </xf>
    <xf numFmtId="0" fontId="6" fillId="21" borderId="39" xfId="0" applyFont="1" applyFill="1" applyBorder="1" applyAlignment="1">
      <alignment horizontal="center" vertical="top" wrapText="1"/>
    </xf>
    <xf numFmtId="0" fontId="6" fillId="14" borderId="35" xfId="0" applyFont="1" applyFill="1" applyBorder="1" applyAlignment="1">
      <alignment horizontal="center" vertical="top" wrapText="1"/>
    </xf>
    <xf numFmtId="0" fontId="6" fillId="14" borderId="5" xfId="0" applyFont="1" applyFill="1" applyBorder="1" applyAlignment="1">
      <alignment horizontal="center" vertical="top" wrapText="1"/>
    </xf>
    <xf numFmtId="1" fontId="6" fillId="15" borderId="35" xfId="0" applyNumberFormat="1" applyFont="1" applyFill="1" applyBorder="1" applyAlignment="1">
      <alignment horizontal="center" vertical="top" wrapText="1"/>
    </xf>
    <xf numFmtId="1" fontId="6" fillId="15" borderId="5" xfId="0" applyNumberFormat="1" applyFont="1" applyFill="1" applyBorder="1" applyAlignment="1">
      <alignment horizontal="center" vertical="top" wrapText="1"/>
    </xf>
    <xf numFmtId="0" fontId="6" fillId="15" borderId="35" xfId="0" applyFont="1" applyFill="1" applyBorder="1" applyAlignment="1">
      <alignment horizontal="center" vertical="top" wrapText="1"/>
    </xf>
    <xf numFmtId="0" fontId="6" fillId="15" borderId="5" xfId="0" applyFont="1" applyFill="1" applyBorder="1" applyAlignment="1">
      <alignment horizontal="center" vertical="top" wrapText="1"/>
    </xf>
    <xf numFmtId="0" fontId="6" fillId="2" borderId="35" xfId="0" applyFont="1" applyFill="1" applyBorder="1" applyAlignment="1">
      <alignment horizontal="center" vertical="top" wrapText="1"/>
    </xf>
    <xf numFmtId="0" fontId="31" fillId="10" borderId="0" xfId="0" applyFont="1" applyFill="1"/>
    <xf numFmtId="0" fontId="0" fillId="0" borderId="18" xfId="0" applyBorder="1"/>
    <xf numFmtId="166" fontId="1" fillId="12" borderId="35" xfId="0" applyNumberFormat="1" applyFont="1" applyFill="1" applyBorder="1" applyAlignment="1">
      <alignment horizontal="center" wrapText="1"/>
    </xf>
    <xf numFmtId="166" fontId="1" fillId="12" borderId="3" xfId="0" applyNumberFormat="1" applyFont="1" applyFill="1" applyBorder="1" applyAlignment="1">
      <alignment horizontal="center" wrapText="1"/>
    </xf>
    <xf numFmtId="166" fontId="1" fillId="12" borderId="8" xfId="0" applyNumberFormat="1" applyFon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8" fillId="12" borderId="3" xfId="0" applyFont="1" applyFill="1" applyBorder="1" applyAlignment="1">
      <alignment horizontal="center" wrapText="1"/>
    </xf>
    <xf numFmtId="0" fontId="28" fillId="0" borderId="35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1" fillId="24" borderId="1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14" fontId="0" fillId="0" borderId="18" xfId="0" applyNumberFormat="1" applyBorder="1" applyAlignment="1">
      <alignment horizontal="left"/>
    </xf>
    <xf numFmtId="0" fontId="0" fillId="0" borderId="18" xfId="0" applyBorder="1" applyAlignment="1">
      <alignment horizontal="center"/>
    </xf>
    <xf numFmtId="165" fontId="9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24" borderId="2" xfId="0" applyFont="1" applyFill="1" applyBorder="1" applyAlignment="1">
      <alignment horizontal="center"/>
    </xf>
    <xf numFmtId="0" fontId="11" fillId="24" borderId="2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left"/>
    </xf>
    <xf numFmtId="0" fontId="9" fillId="0" borderId="46" xfId="0" applyFont="1" applyBorder="1" applyAlignment="1">
      <alignment horizontal="left"/>
    </xf>
    <xf numFmtId="0" fontId="9" fillId="0" borderId="22" xfId="0" quotePrefix="1" applyFont="1" applyBorder="1" applyAlignment="1">
      <alignment horizontal="left" vertical="center"/>
    </xf>
    <xf numFmtId="3" fontId="0" fillId="0" borderId="3" xfId="0" applyNumberFormat="1" applyBorder="1" applyAlignment="1">
      <alignment horizontal="center" vertical="center" wrapText="1"/>
    </xf>
    <xf numFmtId="3" fontId="1" fillId="0" borderId="3" xfId="0" applyNumberFormat="1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9" fillId="9" borderId="22" xfId="0" applyFont="1" applyFill="1" applyBorder="1"/>
    <xf numFmtId="0" fontId="30" fillId="9" borderId="22" xfId="0" applyFont="1" applyFill="1" applyBorder="1"/>
    <xf numFmtId="0" fontId="9" fillId="9" borderId="22" xfId="0" applyFont="1" applyFill="1" applyBorder="1" applyAlignment="1">
      <alignment horizontal="center"/>
    </xf>
    <xf numFmtId="1" fontId="9" fillId="9" borderId="22" xfId="0" applyNumberFormat="1" applyFont="1" applyFill="1" applyBorder="1" applyAlignment="1">
      <alignment horizontal="center"/>
    </xf>
    <xf numFmtId="0" fontId="9" fillId="0" borderId="49" xfId="0" applyFont="1" applyBorder="1" applyAlignment="1">
      <alignment horizontal="left" vertical="center"/>
    </xf>
    <xf numFmtId="14" fontId="9" fillId="0" borderId="22" xfId="0" applyNumberFormat="1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8" xfId="0" applyFont="1" applyBorder="1" applyAlignment="1">
      <alignment horizontal="left" vertical="center"/>
    </xf>
    <xf numFmtId="165" fontId="9" fillId="0" borderId="22" xfId="0" applyNumberFormat="1" applyFont="1" applyBorder="1" applyAlignment="1">
      <alignment horizontal="center" vertical="center"/>
    </xf>
    <xf numFmtId="0" fontId="9" fillId="0" borderId="22" xfId="0" applyFont="1" applyBorder="1"/>
    <xf numFmtId="0" fontId="0" fillId="0" borderId="18" xfId="0" quotePrefix="1" applyBorder="1" applyAlignment="1">
      <alignment horizontal="center"/>
    </xf>
    <xf numFmtId="0" fontId="0" fillId="0" borderId="0" xfId="0" applyNumberFormat="1"/>
    <xf numFmtId="0" fontId="0" fillId="3" borderId="0" xfId="0" applyNumberFormat="1" applyFill="1"/>
    <xf numFmtId="0" fontId="30" fillId="0" borderId="0" xfId="0" applyFont="1" applyFill="1"/>
    <xf numFmtId="0" fontId="30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14" fontId="30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165" fontId="29" fillId="0" borderId="0" xfId="0" applyNumberFormat="1" applyFont="1" applyFill="1" applyAlignment="1">
      <alignment horizontal="center" vertical="center"/>
    </xf>
    <xf numFmtId="165" fontId="30" fillId="0" borderId="45" xfId="0" applyNumberFormat="1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5" fillId="0" borderId="0" xfId="0" applyFont="1" applyFill="1"/>
    <xf numFmtId="0" fontId="29" fillId="0" borderId="0" xfId="0" applyFont="1" applyFill="1" applyBorder="1" applyAlignment="1">
      <alignment horizontal="center" vertical="center"/>
    </xf>
    <xf numFmtId="14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165" fontId="29" fillId="0" borderId="45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 applyAlignment="1">
      <alignment horizontal="center"/>
    </xf>
    <xf numFmtId="165" fontId="30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center" wrapText="1"/>
    </xf>
    <xf numFmtId="14" fontId="30" fillId="0" borderId="18" xfId="0" applyNumberFormat="1" applyFont="1" applyFill="1" applyBorder="1" applyAlignment="1">
      <alignment horizontal="center"/>
    </xf>
    <xf numFmtId="0" fontId="30" fillId="0" borderId="18" xfId="0" applyFont="1" applyFill="1" applyBorder="1"/>
    <xf numFmtId="0" fontId="30" fillId="0" borderId="18" xfId="0" applyFont="1" applyFill="1" applyBorder="1" applyAlignment="1">
      <alignment horizontal="center"/>
    </xf>
    <xf numFmtId="0" fontId="30" fillId="0" borderId="45" xfId="0" applyFont="1" applyFill="1" applyBorder="1"/>
    <xf numFmtId="14" fontId="30" fillId="0" borderId="45" xfId="0" applyNumberFormat="1" applyFont="1" applyFill="1" applyBorder="1" applyAlignment="1">
      <alignment horizontal="center"/>
    </xf>
    <xf numFmtId="0" fontId="30" fillId="0" borderId="45" xfId="0" applyFont="1" applyFill="1" applyBorder="1" applyAlignment="1">
      <alignment horizontal="center"/>
    </xf>
    <xf numFmtId="0" fontId="29" fillId="0" borderId="0" xfId="0" applyFont="1" applyFill="1"/>
    <xf numFmtId="0" fontId="29" fillId="0" borderId="0" xfId="0" applyFont="1" applyFill="1" applyAlignment="1">
      <alignment horizontal="left"/>
    </xf>
    <xf numFmtId="14" fontId="29" fillId="0" borderId="0" xfId="0" applyNumberFormat="1" applyFont="1" applyFill="1" applyBorder="1" applyAlignment="1">
      <alignment horizontal="center" vertical="center"/>
    </xf>
    <xf numFmtId="165" fontId="29" fillId="0" borderId="0" xfId="0" quotePrefix="1" applyNumberFormat="1" applyFont="1" applyFill="1" applyAlignment="1">
      <alignment horizontal="center" vertical="center"/>
    </xf>
    <xf numFmtId="14" fontId="29" fillId="0" borderId="0" xfId="0" quotePrefix="1" applyNumberFormat="1" applyFont="1" applyFill="1" applyAlignment="1">
      <alignment horizontal="center" vertical="center"/>
    </xf>
    <xf numFmtId="1" fontId="29" fillId="0" borderId="0" xfId="0" applyNumberFormat="1" applyFont="1" applyFill="1" applyAlignment="1">
      <alignment horizontal="center"/>
    </xf>
    <xf numFmtId="1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 applyProtection="1">
      <alignment horizontal="center"/>
      <protection locked="0"/>
    </xf>
    <xf numFmtId="14" fontId="29" fillId="0" borderId="0" xfId="0" applyNumberFormat="1" applyFont="1" applyFill="1" applyAlignment="1">
      <alignment horizontal="center" vertical="center"/>
    </xf>
    <xf numFmtId="165" fontId="30" fillId="0" borderId="0" xfId="0" quotePrefix="1" applyNumberFormat="1" applyFont="1" applyFill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29" fillId="0" borderId="0" xfId="0" applyFont="1" applyFill="1" applyBorder="1"/>
    <xf numFmtId="1" fontId="29" fillId="0" borderId="0" xfId="0" applyNumberFormat="1" applyFont="1" applyFill="1" applyBorder="1" applyAlignment="1">
      <alignment horizontal="center" vertical="center"/>
    </xf>
    <xf numFmtId="1" fontId="29" fillId="0" borderId="0" xfId="0" applyNumberFormat="1" applyFont="1" applyFill="1" applyBorder="1" applyAlignment="1">
      <alignment horizontal="center"/>
    </xf>
    <xf numFmtId="165" fontId="30" fillId="0" borderId="0" xfId="0" quotePrefix="1" applyNumberFormat="1" applyFont="1" applyFill="1" applyBorder="1" applyAlignment="1">
      <alignment horizontal="center"/>
    </xf>
    <xf numFmtId="0" fontId="29" fillId="0" borderId="45" xfId="0" applyFont="1" applyFill="1" applyBorder="1" applyAlignment="1">
      <alignment horizontal="left"/>
    </xf>
    <xf numFmtId="14" fontId="29" fillId="0" borderId="45" xfId="0" applyNumberFormat="1" applyFont="1" applyFill="1" applyBorder="1" applyAlignment="1">
      <alignment horizontal="center" vertical="center"/>
    </xf>
    <xf numFmtId="0" fontId="29" fillId="0" borderId="45" xfId="0" applyFont="1" applyFill="1" applyBorder="1"/>
    <xf numFmtId="0" fontId="0" fillId="0" borderId="0" xfId="0" applyFill="1"/>
    <xf numFmtId="14" fontId="29" fillId="0" borderId="0" xfId="0" quotePrefix="1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18" xfId="0" applyFont="1" applyFill="1" applyBorder="1" applyAlignment="1">
      <alignment horizontal="left"/>
    </xf>
    <xf numFmtId="165" fontId="29" fillId="0" borderId="0" xfId="0" quotePrefix="1" applyNumberFormat="1" applyFont="1" applyFill="1" applyBorder="1" applyAlignment="1">
      <alignment horizontal="center" vertical="center"/>
    </xf>
    <xf numFmtId="165" fontId="30" fillId="0" borderId="0" xfId="0" quotePrefix="1" applyNumberFormat="1" applyFont="1" applyFill="1"/>
    <xf numFmtId="0" fontId="9" fillId="0" borderId="0" xfId="0" applyFont="1" applyFill="1" applyAlignment="1">
      <alignment horizontal="center"/>
    </xf>
    <xf numFmtId="0" fontId="33" fillId="0" borderId="0" xfId="0" applyFont="1" applyFill="1"/>
    <xf numFmtId="14" fontId="29" fillId="0" borderId="18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center"/>
    </xf>
    <xf numFmtId="14" fontId="9" fillId="0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 vertical="center"/>
    </xf>
    <xf numFmtId="165" fontId="9" fillId="0" borderId="0" xfId="0" quotePrefix="1" applyNumberFormat="1" applyFont="1" applyFill="1" applyAlignment="1">
      <alignment horizontal="center" vertical="center"/>
    </xf>
    <xf numFmtId="14" fontId="9" fillId="0" borderId="0" xfId="0" quotePrefix="1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18" xfId="0" applyFont="1" applyFill="1" applyBorder="1" applyAlignment="1">
      <alignment horizontal="left"/>
    </xf>
    <xf numFmtId="0" fontId="9" fillId="0" borderId="0" xfId="0" applyFont="1" applyFill="1" applyAlignment="1">
      <alignment horizontal="center" vertical="center"/>
    </xf>
    <xf numFmtId="14" fontId="9" fillId="0" borderId="18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 applyProtection="1">
      <alignment horizontal="center"/>
      <protection locked="0"/>
    </xf>
    <xf numFmtId="0" fontId="12" fillId="0" borderId="0" xfId="0" applyFont="1" applyFill="1"/>
    <xf numFmtId="165" fontId="9" fillId="0" borderId="0" xfId="0" quotePrefix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14" fontId="12" fillId="0" borderId="0" xfId="0" applyNumberFormat="1" applyFont="1" applyFill="1" applyAlignment="1">
      <alignment horizontal="center"/>
    </xf>
    <xf numFmtId="0" fontId="29" fillId="0" borderId="24" xfId="0" applyFont="1" applyFill="1" applyBorder="1" applyAlignment="1">
      <alignment horizontal="left"/>
    </xf>
    <xf numFmtId="0" fontId="9" fillId="0" borderId="24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center"/>
      <protection locked="0"/>
    </xf>
    <xf numFmtId="14" fontId="9" fillId="0" borderId="0" xfId="0" quotePrefix="1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/>
    </xf>
    <xf numFmtId="1" fontId="9" fillId="0" borderId="0" xfId="0" applyNumberFormat="1" applyFont="1" applyFill="1" applyAlignment="1">
      <alignment horizontal="center" vertical="center"/>
    </xf>
    <xf numFmtId="0" fontId="12" fillId="0" borderId="18" xfId="0" applyFont="1" applyFill="1" applyBorder="1"/>
    <xf numFmtId="0" fontId="29" fillId="0" borderId="0" xfId="0" applyFont="1" applyFill="1" applyAlignment="1">
      <alignment horizontal="left" vertical="center"/>
    </xf>
    <xf numFmtId="0" fontId="12" fillId="0" borderId="0" xfId="0" applyFont="1" applyFill="1" applyBorder="1"/>
    <xf numFmtId="14" fontId="12" fillId="0" borderId="18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8" fillId="0" borderId="0" xfId="0" applyFont="1" applyFill="1" applyBorder="1"/>
    <xf numFmtId="0" fontId="9" fillId="0" borderId="22" xfId="0" applyFont="1" applyFill="1" applyBorder="1" applyAlignment="1">
      <alignment horizontal="left"/>
    </xf>
    <xf numFmtId="0" fontId="18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9" fillId="0" borderId="0" xfId="0" applyFont="1" applyFill="1" applyBorder="1" applyAlignment="1">
      <alignment horizontal="left" vertical="center"/>
    </xf>
    <xf numFmtId="0" fontId="9" fillId="0" borderId="18" xfId="0" applyFont="1" applyFill="1" applyBorder="1"/>
    <xf numFmtId="0" fontId="9" fillId="0" borderId="18" xfId="0" applyFont="1" applyFill="1" applyBorder="1" applyAlignment="1">
      <alignment horizontal="center" vertical="center"/>
    </xf>
    <xf numFmtId="165" fontId="9" fillId="0" borderId="18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/>
    </xf>
    <xf numFmtId="1" fontId="9" fillId="0" borderId="18" xfId="0" applyNumberFormat="1" applyFont="1" applyFill="1" applyBorder="1" applyAlignment="1">
      <alignment horizontal="center"/>
    </xf>
    <xf numFmtId="0" fontId="9" fillId="0" borderId="18" xfId="0" applyFont="1" applyFill="1" applyBorder="1" applyAlignment="1" applyProtection="1">
      <alignment horizontal="center"/>
      <protection locked="0"/>
    </xf>
    <xf numFmtId="165" fontId="9" fillId="0" borderId="18" xfId="0" quotePrefix="1" applyNumberFormat="1" applyFont="1" applyFill="1" applyBorder="1" applyAlignment="1">
      <alignment horizontal="center" vertical="center"/>
    </xf>
    <xf numFmtId="165" fontId="12" fillId="0" borderId="18" xfId="0" applyNumberFormat="1" applyFont="1" applyFill="1" applyBorder="1" applyAlignment="1">
      <alignment horizontal="center"/>
    </xf>
    <xf numFmtId="1" fontId="9" fillId="0" borderId="18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left"/>
    </xf>
    <xf numFmtId="0" fontId="9" fillId="0" borderId="18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wrapText="1"/>
    </xf>
    <xf numFmtId="14" fontId="0" fillId="0" borderId="18" xfId="0" applyNumberFormat="1" applyBorder="1" applyAlignment="1">
      <alignment horizontal="center"/>
    </xf>
    <xf numFmtId="14" fontId="9" fillId="0" borderId="2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/>
    </xf>
    <xf numFmtId="0" fontId="29" fillId="0" borderId="3" xfId="0" applyFont="1" applyFill="1" applyBorder="1" applyAlignment="1">
      <alignment horizontal="left"/>
    </xf>
    <xf numFmtId="14" fontId="29" fillId="0" borderId="3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/>
    <xf numFmtId="0" fontId="29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Alignment="1"/>
    <xf numFmtId="0" fontId="9" fillId="0" borderId="3" xfId="0" applyFont="1" applyFill="1" applyBorder="1"/>
    <xf numFmtId="0" fontId="9" fillId="0" borderId="3" xfId="0" applyFont="1" applyFill="1" applyBorder="1" applyAlignment="1">
      <alignment horizontal="center" vertical="center"/>
    </xf>
    <xf numFmtId="14" fontId="12" fillId="0" borderId="18" xfId="0" applyNumberFormat="1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29" fillId="0" borderId="0" xfId="0" applyNumberFormat="1" applyFont="1" applyFill="1" applyAlignment="1">
      <alignment horizontal="center"/>
    </xf>
    <xf numFmtId="0" fontId="9" fillId="9" borderId="22" xfId="0" applyFont="1" applyFill="1" applyBorder="1" applyAlignment="1">
      <alignment horizontal="left"/>
    </xf>
    <xf numFmtId="14" fontId="9" fillId="9" borderId="22" xfId="0" applyNumberFormat="1" applyFont="1" applyFill="1" applyBorder="1" applyAlignment="1">
      <alignment horizontal="center" vertical="center"/>
    </xf>
    <xf numFmtId="165" fontId="9" fillId="9" borderId="22" xfId="0" applyNumberFormat="1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left" vertical="center"/>
    </xf>
    <xf numFmtId="14" fontId="0" fillId="0" borderId="18" xfId="0" applyNumberFormat="1" applyBorder="1"/>
    <xf numFmtId="0" fontId="29" fillId="0" borderId="18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0" fillId="0" borderId="3" xfId="0" applyFont="1" applyFill="1" applyBorder="1"/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12" fillId="0" borderId="3" xfId="0" applyNumberFormat="1" applyFont="1" applyFill="1" applyBorder="1" applyAlignment="1">
      <alignment horizontal="center"/>
    </xf>
    <xf numFmtId="0" fontId="9" fillId="0" borderId="18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3" xfId="0" applyFill="1" applyBorder="1"/>
    <xf numFmtId="0" fontId="5" fillId="0" borderId="12" xfId="0" applyFont="1" applyFill="1" applyBorder="1"/>
    <xf numFmtId="0" fontId="0" fillId="0" borderId="0" xfId="0" applyFont="1" applyFill="1"/>
    <xf numFmtId="0" fontId="29" fillId="0" borderId="0" xfId="0" applyFont="1" applyFill="1" applyAlignment="1"/>
    <xf numFmtId="0" fontId="9" fillId="0" borderId="22" xfId="0" applyFont="1" applyFill="1" applyBorder="1"/>
    <xf numFmtId="14" fontId="12" fillId="0" borderId="0" xfId="0" applyNumberFormat="1" applyFont="1" applyFill="1" applyBorder="1" applyAlignment="1">
      <alignment horizontal="center" vertical="center"/>
    </xf>
    <xf numFmtId="14" fontId="9" fillId="0" borderId="25" xfId="0" applyNumberFormat="1" applyFont="1" applyFill="1" applyBorder="1" applyAlignment="1">
      <alignment horizontal="center" vertical="center"/>
    </xf>
    <xf numFmtId="14" fontId="9" fillId="0" borderId="26" xfId="0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/>
    </xf>
    <xf numFmtId="165" fontId="12" fillId="0" borderId="18" xfId="0" quotePrefix="1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2" fillId="0" borderId="18" xfId="0" applyFont="1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center"/>
      <protection locked="0"/>
    </xf>
    <xf numFmtId="0" fontId="10" fillId="5" borderId="15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/>
    </xf>
    <xf numFmtId="0" fontId="2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2" fillId="0" borderId="22" xfId="0" applyFont="1" applyFill="1" applyBorder="1"/>
    <xf numFmtId="0" fontId="0" fillId="0" borderId="3" xfId="0" applyFill="1" applyBorder="1" applyAlignment="1">
      <alignment textRotation="90"/>
    </xf>
    <xf numFmtId="0" fontId="5" fillId="0" borderId="3" xfId="0" applyFont="1" applyFill="1" applyBorder="1" applyAlignment="1">
      <alignment horizontal="left"/>
    </xf>
    <xf numFmtId="0" fontId="10" fillId="5" borderId="14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</cellXfs>
  <cellStyles count="3">
    <cellStyle name="Comma" xfId="2" builtinId="3"/>
    <cellStyle name="Normal" xfId="0" builtinId="0"/>
    <cellStyle name="Percent" xfId="1" builtinId="5"/>
  </cellStyles>
  <dxfs count="182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>
          <bgColor theme="7"/>
        </patternFill>
      </fill>
    </dxf>
    <dxf>
      <fill>
        <patternFill>
          <bgColor theme="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ont>
        <b/>
      </font>
    </dxf>
    <dxf>
      <font>
        <b/>
      </font>
    </dxf>
    <dxf>
      <alignment horizontal="center" readingOrder="0"/>
    </dxf>
    <dxf>
      <alignment vertical="center" readingOrder="0"/>
    </dxf>
    <dxf>
      <alignment textRotation="0" readingOrder="0"/>
    </dxf>
    <dxf>
      <alignment textRotation="90" readingOrder="0"/>
    </dxf>
    <dxf>
      <alignment textRotation="90" readingOrder="0"/>
    </dxf>
    <dxf>
      <alignment textRotation="90" readingOrder="0"/>
    </dxf>
    <dxf>
      <numFmt numFmtId="1" formatCode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2" formatCode="0.00"/>
      <fill>
        <patternFill patternType="solid">
          <fgColor indexed="64"/>
          <bgColor theme="5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auto="1"/>
      </font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1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outline="0">
        <right style="thin">
          <color indexed="64"/>
        </right>
      </border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14" formatCode="0.00%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166" formatCode="0.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rgb="FF000000"/>
        </top>
      </border>
    </dxf>
    <dxf>
      <alignment horizontal="center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%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4" formatCode="0.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4472C4"/>
        </patternFill>
      </fill>
      <border outline="0"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 patternType="solid">
          <bgColor rgb="FFFF0000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4472C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>
        <top style="medium">
          <color rgb="FF000000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</dxfs>
  <tableStyles count="0" defaultTableStyle="TableStyleMedium2" defaultPivotStyle="PivotStyleLight16"/>
  <colors>
    <mruColors>
      <color rgb="FFCD96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2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ankspeed.sharepoint-mil.us/Users/amanda.carter/OneDrive%20-%20US%20Navy-flankspeed/Desktop/FY23%20CHRON_7Sept_DHON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22 Chron"/>
      <sheetName val="Summary of changes"/>
      <sheetName val="Additions-Use this tab"/>
      <sheetName val="FY23 Status"/>
      <sheetName val="FY 2023 Chron"/>
      <sheetName val="Sheet3"/>
      <sheetName val="Plan vs need"/>
      <sheetName val="Sheet1"/>
      <sheetName val="Course Counts"/>
      <sheetName val="Plan vs Need v1"/>
      <sheetName val="Instructor Totals- Days"/>
      <sheetName val="Instructor Totals-Weeks"/>
      <sheetName val="Sheet2"/>
      <sheetName val="Location Coun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steve_sherman8_mil_us_navy_mil/Documents/Desktop/Copy%20of%20FY25%20Quota%20Need%20v9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steve_sherman8_mil_us_navy_mil/Documents/Desktop/Copy%20of%20FY25%20Quota%20Need%20v9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77.531378819447" createdVersion="8" refreshedVersion="8" minRefreshableVersion="3" recordCount="221" xr:uid="{522D8180-85FA-4422-9DB1-3B6D28905D82}">
  <cacheSource type="worksheet">
    <worksheetSource ref="A3:H224" sheet="Data- Global Online" r:id="rId2"/>
  </cacheSource>
  <cacheFields count="8">
    <cacheField name="Command" numFmtId="0">
      <sharedItems count="13">
        <s v="CNIC HQ Safety"/>
        <s v="BUMED"/>
        <s v="NAVSPECWARCOM"/>
        <s v="COMPACFLT"/>
        <s v="NAVFACSYSCOM"/>
        <s v="COMFRC"/>
        <s v="NAVSEA"/>
        <s v="NAVSUP"/>
        <s v="NETC"/>
        <s v="NHHC"/>
        <s v="USFF"/>
        <s v="USMC"/>
        <s v="CNIC HQ Environmental"/>
      </sharedItems>
    </cacheField>
    <cacheField name="Course Title/Preferred Time Zone" numFmtId="0">
      <sharedItems count="17">
        <s v="Afloat Environmental Protection Coordinator (Global Online)"/>
        <s v="Aviation Safety Specialist  (Global Online)"/>
        <s v="Fall Protection Program Manager (Global Online)"/>
        <s v="General Industry Safety Standards  (Global Online)"/>
        <s v="Hazardous Material Control and Management (HMC&amp;M) Technician  (Global Online)"/>
        <s v="Introduction to Hazardous Materials Ashore  (Global Online)"/>
        <s v="Introduction to Industrial Hygiene for Safety Professionals  (Global Online)"/>
        <s v="Introduction to Naval Safety and Occupational Health (Global Online)"/>
        <s v="Machinery &amp; Machine Guarding Standards  (Global Online)"/>
        <s v="Mishap Investigation  (Global Online)"/>
        <s v="Navy Ergonomics Program (Global Online)"/>
        <s v="Occupational Health Program Manager (In Development)"/>
        <s v="Operational Risk Management Application &amp; Integration Course  (Global Online)"/>
        <s v="Safety Managers Course (In Development)"/>
        <s v="Safety Programs Afloat  (Global Online)"/>
        <s v="Submarine Safety Officer  (Global Online)"/>
        <s v="Workplace Inspectors Course (In Development)"/>
      </sharedItems>
    </cacheField>
    <cacheField name="AST (Arabian Standard Time)" numFmtId="0">
      <sharedItems containsString="0" containsBlank="1" containsNumber="1" containsInteger="1" minValue="0" maxValue="18"/>
    </cacheField>
    <cacheField name="CET/CEST (Central European Standard Time)" numFmtId="0">
      <sharedItems containsString="0" containsBlank="1" containsNumber="1" containsInteger="1" minValue="0" maxValue="322"/>
    </cacheField>
    <cacheField name="EST/EDT (Eastern Standard Time)" numFmtId="0">
      <sharedItems containsString="0" containsBlank="1" containsNumber="1" containsInteger="1" minValue="0" maxValue="641"/>
    </cacheField>
    <cacheField name="HST (Hawaii Standard Time)" numFmtId="0">
      <sharedItems containsString="0" containsBlank="1" containsNumber="1" containsInteger="1" minValue="0" maxValue="70"/>
    </cacheField>
    <cacheField name="JST (Japan Standard Time)" numFmtId="0">
      <sharedItems containsString="0" containsBlank="1" containsNumber="1" containsInteger="1" minValue="0" maxValue="99"/>
    </cacheField>
    <cacheField name="PST/PDT (Pacific Standard Time)" numFmtId="0">
      <sharedItems containsString="0" containsBlank="1" containsNumber="1" containsInteger="1" minValue="0" maxValue="6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77.531379050924" createdVersion="8" refreshedVersion="8" minRefreshableVersion="3" recordCount="711" xr:uid="{FF896C71-E09A-4A0F-9F9C-A6FE198AB3E4}">
  <cacheSource type="worksheet">
    <worksheetSource ref="A3:Y714" sheet="Data-Resident Courses" r:id="rId2"/>
  </cacheSource>
  <cacheFields count="25">
    <cacheField name="Command" numFmtId="0">
      <sharedItems count="72">
        <s v="CNIC HQ Safety"/>
        <s v="BUMED"/>
        <s v="NAVSPECWARCOM"/>
        <s v="COMPACFLT"/>
        <s v="NAVFACSYSCOM"/>
        <s v="COMFRC"/>
        <s v="NAVSEA"/>
        <s v="NAVSUP"/>
        <s v="NETC"/>
        <s v="NHHC"/>
        <s v="USFF"/>
        <s v="USMC"/>
        <s v="CNIC HQ Environmental"/>
        <s v="CNIC HQ N35" u="1"/>
        <s v="Commander of Navy Installations Command, HQ" u="1"/>
        <s v="CNIC HQ N36" u="1"/>
        <s v="CNIC HQ N37" u="1"/>
        <s v="CNIC HQ N38" u="1"/>
        <s v="CNIC HQ N39" u="1"/>
        <s v="CNIC HQ N40" u="1"/>
        <s v="CNIC HQ N41" u="1"/>
        <s v="CNIC HQ N42" u="1"/>
        <s v="CNIC HQ N43" u="1"/>
        <s v="CNIC HQ N44" u="1"/>
        <s v="CNIC HQ N45" u="1"/>
        <s v="CNIC HQ N46" u="1"/>
        <s v="CNIC HQ N47" u="1"/>
        <s v="CNIC HQ N48" u="1"/>
        <s v="CNIC HQ N49" u="1"/>
        <s v="CNIC HQ N50" u="1"/>
        <s v="CNIC HQ N51" u="1"/>
        <s v="CNIC HQ N52" u="1"/>
        <s v="CNIC HQ N53" u="1"/>
        <s v="CNIC HQ N54" u="1"/>
        <s v="CNIC HQ N55" u="1"/>
        <s v="CNIC HQ N56" u="1"/>
        <s v="CNIC HQ N57" u="1"/>
        <s v="CNIC HQ N58" u="1"/>
        <s v="CNIC HQ N59" u="1"/>
        <s v="CNIC HQ N60" u="1"/>
        <s v="CNIC HQ N61" u="1"/>
        <s v="CNIC HQ N62" u="1"/>
        <s v="CNIC HQ N63" u="1"/>
        <s v="CNIC HQ N64" u="1"/>
        <s v="CNIC HQ N65" u="1"/>
        <s v="CNIC HQ N66" u="1"/>
        <s v="CNIC HQ N67" u="1"/>
        <s v="CNIC HQ N68" u="1"/>
        <s v="CNIC HQ N69" u="1"/>
        <s v="CNIC HQ N70" u="1"/>
        <s v="CNIC HQ N71" u="1"/>
        <s v="CNIC HQ N72" u="1"/>
        <s v="CNIC HQ N73" u="1"/>
        <s v="CNIC HQ N74" u="1"/>
        <s v="CNIC HQ N75" u="1"/>
        <s v="CNIC HQ N76" u="1"/>
        <s v="CNIC HQ N77" u="1"/>
        <s v="CNIC HQ N78" u="1"/>
        <s v="CNIC HQ N79" u="1"/>
        <s v="CNIC HQ N80" u="1"/>
        <s v="CNIC HQ N81" u="1"/>
        <s v="CNIC HQ N82" u="1"/>
        <s v="CNIC HQ N83" u="1"/>
        <s v="CNIC HQ N84" u="1"/>
        <s v="CNIC HQ N85" u="1"/>
        <s v="CNIC HQ N86" u="1"/>
        <s v="CNIC HQ N87" u="1"/>
        <s v="CNIC HQ N88" u="1"/>
        <s v="CNIC HQ N89" u="1"/>
        <s v="CNIC HQ N90" u="1"/>
        <s v="CNIC HQ N91" u="1"/>
        <s v="CNIC HQ N92" u="1"/>
      </sharedItems>
    </cacheField>
    <cacheField name="Location/Course Title" numFmtId="0">
      <sharedItems containsBlank="1" count="106">
        <s v="Baharin "/>
        <s v="Colts Neck, NJ"/>
        <s v="Coronado, CA"/>
        <s v="Corpus Christi, TX"/>
        <s v="Crane, IN"/>
        <s v="Diego Garcia"/>
        <s v="Everett, WA"/>
        <s v="Fallon, NV"/>
        <s v="Great Lakes, IL"/>
        <s v="Guam"/>
        <s v="Guantanamo Bay, Cuba"/>
        <s v="Gulfport, MS"/>
        <s v="Indian Head, MD"/>
        <s v="Indian Island, WA"/>
        <s v="Jacksonville, FL"/>
        <s v="Kekaha, HI"/>
        <s v="Keyport, WA "/>
        <s v="Kingsbay, GA"/>
        <s v="Kingsville, TX"/>
        <s v="Lemoore, CA"/>
        <s v="Little Creek, VA Beach"/>
        <s v="Mayport, FL"/>
        <s v="Mid South, TN"/>
        <s v="Naples, Italy"/>
        <s v="Naval Station Norfolk, VA "/>
        <s v="New London, CT"/>
        <s v="Newport, RI"/>
        <s v="Okinawa, Japan"/>
        <s v="Panama City, FL"/>
        <s v="Patuxent River, MD"/>
        <s v="Pearl Harbor, HI"/>
        <s v="Pensacola, FL"/>
        <s v="Point Loma, CA"/>
        <s v="Port Hueneme, CA"/>
        <s v="Portsmouth, NH"/>
        <s v="Rota, Spain"/>
        <s v="San Diego, CA"/>
        <s v="Sasebo, Japan"/>
        <s v="Seal Beach, CA"/>
        <s v="Sigonella, Italy"/>
        <s v="Souda Bay, Greece"/>
        <s v="Support Facility Diego Garcia"/>
        <s v="Ventura, County (Point Mugu)"/>
        <s v="Virginia Beach, VA "/>
        <s v="Washington, DC"/>
        <s v="Whidbey Island, WA"/>
        <s v="Yokosuka, Japan"/>
        <s v="Oceana/Dam Neck, VA Beach"/>
        <s v="Yorktown, VA"/>
        <s v="Mechanicsburg, PA"/>
        <s v="Philadelphia, PA"/>
        <s v="Deveselu, Romania"/>
        <s v="Redzikowo, Poland"/>
        <s v="Key West, FL"/>
        <s v="Meridian, MS"/>
        <s v="New Orleans, LA"/>
        <s v="Whiting Field, FL"/>
        <s v="Fort Worth, TX"/>
        <s v="Annapolis, MD"/>
        <s v="Atsugi, Japan"/>
        <s v="Bangor, WA"/>
        <s v="Bremerton, WA"/>
        <s v="Camp Lejeune, NC"/>
        <s v="Chinhae, Korea"/>
        <s v="Groton, CT"/>
        <s v="Norfolk, VA"/>
        <s v="San Clemente Island, CA"/>
        <s v="Cherry Point, NC"/>
        <s v="Iwakuni, Japan"/>
        <s v="Bahrain"/>
        <s v="China Lake, CA"/>
        <s v="Kingsvile, TX"/>
        <s v="Misawa, Japan"/>
        <s v="Monterey, CA"/>
        <s v="Singapore"/>
        <s v="Manama Bahrain"/>
        <s v="CLDJ, Djibouti"/>
        <s v="China Lake (Ridgecrest), CA"/>
        <s v="Rota, SP"/>
        <s v="Twentynine Palms, CA"/>
        <s v="Stuttgart Germany"/>
        <s v="Setermoen Norway"/>
        <s v="MCB Camp Pendleton, CA"/>
        <s v="MCAS Miramar, CA"/>
        <s v="29 Palms, CA"/>
        <s v="MCAS Yuma, AZ"/>
        <s v="MCB Hawaii, Kaneohe Bay, HI"/>
        <s v="MCAS Iwakuni, Japan"/>
        <s v="MCAS New River"/>
        <s v="MCINCR-MCBQ-MCAF"/>
        <s v="Blount Island (NAS Jax)"/>
        <s v="Singapore Area Coordinator"/>
        <s v="Hachinohe, Japan (NAVSUP FLCY) ADDED"/>
        <s v="Hakozaki, Japan (NAVSUP FLCY)"/>
        <s v="Tsurumi, Japan (NAVSUP FLCY)"/>
        <s v="Sasebo, Japan (NAVSUP FLCS)"/>
        <s v="Manchester, WA (CNRMA ADDED)"/>
        <s v="Yorktown NWS (CNRSE ADDED)"/>
        <s v="Norfolk Naval Shipyard (CNRMA ADDED)"/>
        <s v="Bahrain (EURAFCENT ADDED)"/>
        <s v="Andros, Bahamas (CNRSE ADDED)"/>
        <s v="Key West, FL (CNRSE ADDED)"/>
        <s v="Meridian, MS (CNRSE ADDED)"/>
        <s v="New Orleans, LA (CNRSE ADDED)"/>
        <s v="Whiting Field, FL (CNRSE ADDED)"/>
        <m u="1"/>
      </sharedItems>
    </cacheField>
    <cacheField name="Asbestos Inspector" numFmtId="0">
      <sharedItems containsBlank="1" containsMixedTypes="1" containsNumber="1" containsInteger="1" minValue="0" maxValue="41"/>
    </cacheField>
    <cacheField name="Asbestos Inspector Refresher" numFmtId="0">
      <sharedItems containsString="0" containsBlank="1" containsNumber="1" containsInteger="1" minValue="0" maxValue="30"/>
    </cacheField>
    <cacheField name="Asbestos Management Planner" numFmtId="0">
      <sharedItems containsString="0" containsBlank="1" containsNumber="1" containsInteger="1" minValue="0" maxValue="15"/>
    </cacheField>
    <cacheField name="Asbestos Management Planner Refresher" numFmtId="0">
      <sharedItems containsString="0" containsBlank="1" containsNumber="1" containsInteger="1" minValue="0" maxValue="15"/>
    </cacheField>
    <cacheField name="Asbestos Supervisor Initial" numFmtId="0">
      <sharedItems containsString="0" containsBlank="1" containsNumber="1" containsInteger="1" minValue="0" maxValue="30"/>
    </cacheField>
    <cacheField name="Asbestos Supervisor Refresher" numFmtId="0">
      <sharedItems containsString="0" containsBlank="1" containsNumber="1" containsInteger="1" minValue="0" maxValue="20"/>
    </cacheField>
    <cacheField name="Competent Person for Fall Protection Course" numFmtId="0">
      <sharedItems containsString="0" containsBlank="1" containsNumber="1" containsInteger="1" minValue="0" maxValue="241"/>
    </cacheField>
    <cacheField name="Confined Space Safety " numFmtId="0">
      <sharedItems containsString="0" containsBlank="1" containsNumber="1" containsInteger="1" minValue="0" maxValue="47"/>
    </cacheField>
    <cacheField name="Construction Safety Standards" numFmtId="0">
      <sharedItems containsString="0" containsBlank="1" containsNumber="1" containsInteger="1" minValue="0" maxValue="47"/>
    </cacheField>
    <cacheField name="Emergency Asbestos Response Team" numFmtId="0">
      <sharedItems containsString="0" containsBlank="1" containsNumber="1" containsInteger="1" minValue="0" maxValue="20"/>
    </cacheField>
    <cacheField name="Facility Response Team Five Day" numFmtId="0">
      <sharedItems containsString="0" containsBlank="1" containsNumber="1" containsInteger="1" minValue="0" maxValue="80"/>
    </cacheField>
    <cacheField name="Facility Response Team Three Day" numFmtId="0">
      <sharedItems containsString="0" containsBlank="1" containsNumber="1" containsInteger="1" minValue="0" maxValue="60"/>
    </cacheField>
    <cacheField name="Fire Protection &amp; Life Safety" numFmtId="0">
      <sharedItems containsString="0" containsBlank="1" containsNumber="1" containsInteger="1" minValue="0" maxValue="50"/>
    </cacheField>
    <cacheField name="Hazardous Substance Incident Response Management" numFmtId="0">
      <sharedItems containsString="0" containsBlank="1" containsNumber="1" containsInteger="1" minValue="0" maxValue="90"/>
    </cacheField>
    <cacheField name="Hazardous Substance Incident Response Management  Refresher" numFmtId="0">
      <sharedItems containsString="0" containsBlank="1" containsNumber="1" containsInteger="1" minValue="0" maxValue="100"/>
    </cacheField>
    <cacheField name="Incident Command System 300 " numFmtId="0">
      <sharedItems containsString="0" containsBlank="1" containsNumber="1" containsInteger="1" minValue="0" maxValue="50"/>
    </cacheField>
    <cacheField name="Incident Command System 300 Refresher" numFmtId="0">
      <sharedItems containsString="0" containsBlank="1" containsNumber="1" containsInteger="1" minValue="0" maxValue="30"/>
    </cacheField>
    <cacheField name="Incident Command System 400 " numFmtId="0">
      <sharedItems containsString="0" containsBlank="1" containsNumber="1" containsInteger="1" minValue="0" maxValue="30"/>
    </cacheField>
    <cacheField name="Industrial Noise and Hearing Conservation Program" numFmtId="0">
      <sharedItems containsString="0" containsBlank="1" containsNumber="1" containsInteger="1" minValue="0" maxValue="37"/>
    </cacheField>
    <cacheField name="Oil Hazardous Substance Spill Response Tabletop Exercise " numFmtId="0">
      <sharedItems containsString="0" containsBlank="1" containsNumber="1" containsInteger="1" minValue="0" maxValue="35"/>
    </cacheField>
    <cacheField name="Respiratory Protection Program Management" numFmtId="0">
      <sharedItems containsString="0" containsBlank="1" containsNumber="1" containsInteger="1" minValue="0" maxValue="113"/>
    </cacheField>
    <cacheField name="Tank Managers Course" numFmtId="0">
      <sharedItems containsString="0" containsBlank="1" containsNumber="1" containsInteger="1" minValue="0" maxValue="30"/>
    </cacheField>
    <cacheField name="Totals" numFmtId="0">
      <sharedItems containsSemiMixedTypes="0" containsString="0" containsNumber="1" containsInteger="1" minValue="0" maxValue="5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772.335371064815" createdVersion="6" refreshedVersion="8" minRefreshableVersion="3" recordCount="531" xr:uid="{00000000-000A-0000-FFFF-FFFF00000000}">
  <cacheSource type="worksheet">
    <worksheetSource name="Table2"/>
  </cacheSource>
  <cacheFields count="37">
    <cacheField name="Comments" numFmtId="0">
      <sharedItems containsDate="1" containsBlank="1" containsMixedTypes="1" minDate="2025-03-19T00:00:00" maxDate="2025-03-20T00:00:00"/>
    </cacheField>
    <cacheField name="Course Title" numFmtId="0">
      <sharedItems count="42">
        <s v="Hazardous Material Control and Management [HMC&amp;M] Technician (Global Online)"/>
        <s v="Operational Risk Management Application &amp; Integration (Global Online)"/>
        <s v="Safety Programs Afloat (Global Online) "/>
        <s v="Mishap Investigation (Global Online) "/>
        <s v="Introduction to Naval Safety and Occupational Health (Global Online) "/>
        <s v="Machinery and Machine Guarding Standards (Global Online) "/>
        <s v="Navy Ergonomics Program (Global Online)"/>
        <s v="Safety Programs Afloat (Resident)"/>
        <s v="Command Function"/>
        <s v="Facility Response Team (FRT) Five Day"/>
        <s v="Holiday"/>
        <s v="Asbestos Supervisor Refresher"/>
        <s v="Classroom Reserved"/>
        <s v="Introduction to Hazardous Materials [Ashore] (Global Online) "/>
        <s v="Introduction to Industrial Hygiene for Safety Professionals (Global Online) "/>
        <s v="Asbestos Management Planner Refresher"/>
        <s v="Respiratory Protection Program Management"/>
        <s v="Emergency Asbestos Response Team"/>
        <s v="Asbestos Supervisor Initial"/>
        <s v="Confined Space Safety"/>
        <s v="General Industry Safety Standards (Global Online) "/>
        <s v="Hazardous Substance Incident Response Management (HSIRM) Refresher"/>
        <s v="Oil Hazardous Substance Spill Response Tabletop Exercise (OHS TTX)"/>
        <s v="Asbestos Inspector Initial"/>
        <s v="Facility Response Team (FRT) Three Day"/>
        <s v="Asbestos Management Planner Initial"/>
        <s v="Afloat Environmental Protection Coordinator (Global Online) "/>
        <s v="Incident Command System 300 (ICS 300)"/>
        <s v="Industrial Noise"/>
        <s v="Incident Command System 400 (ICS 400)"/>
        <s v="Aviation Safety Specialist (Global Online) "/>
        <s v="Submarine Safety Officer (Global Online) "/>
        <s v="Fall Protection Program Manager Course (Global Online)"/>
        <s v="Fire Protection and Life Safety"/>
        <s v="Competent Person for Fall Protection Course (Resident)"/>
        <s v="Safety Managers Course"/>
        <s v="Hazardous Substance Incident Response Management (HSIRM)"/>
        <s v="Asbestos Inspector Refresher"/>
        <s v="Incident Command System 300 (ICS 300) Refresher"/>
        <s v="Tank Managers "/>
        <s v="Professional Development Symposium"/>
        <s v="Construction Safety Standards"/>
      </sharedItems>
    </cacheField>
    <cacheField name="CIN" numFmtId="0">
      <sharedItems/>
    </cacheField>
    <cacheField name="CDP " numFmtId="0">
      <sharedItems containsBlank="1" containsMixedTypes="1" containsNumber="1" containsInteger="1" minValue="1228" maxValue="5891"/>
    </cacheField>
    <cacheField name="Location" numFmtId="0">
      <sharedItems containsBlank="1" count="72">
        <s v="Global Online"/>
        <s v="Norfolk, VA Classroom 1"/>
        <s v="Marine Corps Base Hawaii"/>
        <s v="Holiday"/>
        <s v="Norfolk, VA Classroom 2"/>
        <s v="Mayport, FL"/>
        <s v="Annapolis, MD"/>
        <s v="Camp Pendleton, CA"/>
        <s v="Jacksonville, FL"/>
        <s v="Guantanamo Bay, Cuba"/>
        <s v="Corpus Christi, TX"/>
        <s v="San Diego, CA"/>
        <s v="Gulfport, MS"/>
        <s v="Norfolk, VA Safety Command"/>
        <s v="Coronado, CA"/>
        <s v="Pearl Harbor, HI"/>
        <s v="Guam"/>
        <s v="Bahrain"/>
        <s v="Lemoore, CA"/>
        <s v="Andros, Bahamas"/>
        <s v="Bremerton, WA"/>
        <s v="Quantico, VA"/>
        <s v="Yokosuka, Japan"/>
        <s v="Diego Garcia"/>
        <s v="Whidbey Island, WA"/>
        <s v="Crane, IN"/>
        <s v="Twenty-nine Palms, CA"/>
        <s v="Atsugi, Japan"/>
        <s v="Everett, WA"/>
        <s v="Norfolk, VA"/>
        <s v="Point Loma, CA"/>
        <s v="Beaufort, SC"/>
        <s v="Camp Lejeune, NC"/>
        <s v="Groton, CT"/>
        <s v="Panama City, FL"/>
        <s v="Key West, FL"/>
        <s v="Sasebo, Japan"/>
        <s v="Okinawa, Japan"/>
        <s v="Pax River, MD"/>
        <m/>
        <s v="Kings Bay, GA"/>
        <s v="Bangor, WA"/>
        <s v="Pensacola, FL"/>
        <s v="Cherry Point, NC"/>
        <s v="Hakozaki, Japan"/>
        <s v="Tsurumi, Japan"/>
        <s v="Norfolk Naval Shipyard"/>
        <s v="Hachinohe, Japan"/>
        <s v="Iwakuni, Japan"/>
        <s v=" Atsugi, Japan"/>
        <s v="Little Creek, VA"/>
        <s v="Indian Head, MD"/>
        <s v="Sasebo, Japan "/>
        <s v="Camp Butler, Japan"/>
        <s v="Souda Bay, Greece"/>
        <s v="Oceana, VA"/>
        <s v="Yorktown, VA"/>
        <s v="Newport, RI"/>
        <s v="Rota, Spain"/>
        <s v="Colts Neck, NJ"/>
        <s v="Naples, Italy"/>
        <s v="Port Hueneme, CA"/>
        <s v="Portsmouth, NH"/>
        <s v="New Orleans, LA"/>
        <s v="Great Lakes, IL"/>
        <s v="Indian Island, WA"/>
        <s v="Virginia Beach, VA "/>
        <s v="Manchester, WA"/>
        <s v="PMRF Barking Sands"/>
        <s v="Ownings Mills, MD" u="1"/>
        <s v="Baltimore, MD" u="1"/>
        <s v="Singapore" u="1"/>
      </sharedItems>
    </cacheField>
    <cacheField name="Start Date" numFmtId="14">
      <sharedItems containsSemiMixedTypes="0" containsNonDate="0" containsDate="1" containsString="0" minDate="2024-09-30T00:00:00" maxDate="2025-10-01T00:00:00"/>
    </cacheField>
    <cacheField name="End Date" numFmtId="14">
      <sharedItems containsSemiMixedTypes="0" containsNonDate="0" containsDate="1" containsString="0" minDate="2024-01-10T00:00:00" maxDate="2025-10-03T00:00:00"/>
    </cacheField>
    <cacheField name="Resident Local Start Time of location" numFmtId="0">
      <sharedItems containsDate="1" containsBlank="1" containsMixedTypes="1" minDate="1899-12-30T08:00:00" maxDate="1903-04-14T12:00:00"/>
    </cacheField>
    <cacheField name="EST/EDT Local Live Session Start Time " numFmtId="0">
      <sharedItems containsDate="1" containsString="0" containsBlank="1" containsMixedTypes="1" minDate="1900-01-02T18:24:04" maxDate="1905-03-14T19:00:00"/>
    </cacheField>
    <cacheField name="PST/PDT Local Live Session Start Time " numFmtId="0">
      <sharedItems containsDate="1" containsString="0" containsBlank="1" containsMixedTypes="1" minDate="1900-01-02T18:24:04" maxDate="1902-03-11T00:00:00"/>
    </cacheField>
    <cacheField name="AST Local Live Session Start Time " numFmtId="0">
      <sharedItems containsDate="1" containsString="0" containsBlank="1" containsMixedTypes="1" minDate="1900-01-04T18:32:04" maxDate="1902-03-11T00:00:00"/>
    </cacheField>
    <cacheField name="CET/CEST Local Live Session Start Time " numFmtId="0">
      <sharedItems containsDate="1" containsString="0" containsBlank="1" containsMixedTypes="1" minDate="1900-01-03T10:29:04" maxDate="1902-03-11T00:00:00"/>
    </cacheField>
    <cacheField name="HST Local Live Session Start Time " numFmtId="0">
      <sharedItems containsDate="1" containsString="0" containsBlank="1" containsMixedTypes="1" minDate="1899-12-30T00:00:00" maxDate="1902-03-11T00:00:00"/>
    </cacheField>
    <cacheField name="JST Local Live Session Start Time " numFmtId="0">
      <sharedItems containsDate="1" containsString="0" containsBlank="1" containsMixedTypes="1" minDate="1899-12-30T00:00:00" maxDate="1902-03-11T00:00:00"/>
    </cacheField>
    <cacheField name="Primary Instructor" numFmtId="0">
      <sharedItems containsBlank="1"/>
    </cacheField>
    <cacheField name="Instructor 2" numFmtId="0">
      <sharedItems containsBlank="1"/>
    </cacheField>
    <cacheField name="Military Support" numFmtId="0">
      <sharedItems containsBlank="1"/>
    </cacheField>
    <cacheField name="Quotas" numFmtId="0">
      <sharedItems containsSemiMixedTypes="0" containsString="0" containsNumber="1" containsInteger="1" minValue="0" maxValue="100"/>
    </cacheField>
    <cacheField name="Course Length (Hours)" numFmtId="0">
      <sharedItems containsSemiMixedTypes="0" containsString="0" containsNumber="1" containsInteger="1" minValue="0" maxValue="40"/>
    </cacheField>
    <cacheField name="Course Length (Days)" numFmtId="0">
      <sharedItems containsString="0" containsBlank="1" containsNumber="1" minValue="0" maxValue="5"/>
    </cacheField>
    <cacheField name="FY25 Need" numFmtId="0">
      <sharedItems containsString="0" containsBlank="1" containsNumber="1" containsInteger="1" minValue="0" maxValue="1432"/>
    </cacheField>
    <cacheField name="Registered" numFmtId="0">
      <sharedItems containsString="0" containsBlank="1" containsNumber="1" containsInteger="1" minValue="0" maxValue="103"/>
    </cacheField>
    <cacheField name="Waitlisted" numFmtId="0">
      <sharedItems containsString="0" containsBlank="1" containsNumber="1" containsInteger="1" minValue="0" maxValue="49"/>
    </cacheField>
    <cacheField name="Graduates" numFmtId="0">
      <sharedItems containsString="0" containsBlank="1" containsNumber="1" containsInteger="1" minValue="0" maxValue="88"/>
    </cacheField>
    <cacheField name="Fail" numFmtId="0">
      <sharedItems containsString="0" containsBlank="1" containsNumber="1" containsInteger="1" minValue="0" maxValue="18"/>
    </cacheField>
    <cacheField name="No Shows" numFmtId="0">
      <sharedItems containsString="0" containsBlank="1" containsNumber="1" containsInteger="1" minValue="0" maxValue="29"/>
    </cacheField>
    <cacheField name="Walk-ins" numFmtId="0">
      <sharedItems containsString="0" containsBlank="1" containsNumber="1" containsInteger="1" minValue="0" maxValue="26"/>
    </cacheField>
    <cacheField name="Foreign Grads" numFmtId="0">
      <sharedItems containsString="0" containsBlank="1" containsNumber="1" containsInteger="1" minValue="0" maxValue="23"/>
    </cacheField>
    <cacheField name="Received by" numFmtId="0">
      <sharedItems containsBlank="1"/>
    </cacheField>
    <cacheField name="Roster Due" numFmtId="0">
      <sharedItems containsSemiMixedTypes="0" containsString="0" containsNumber="1" containsInteger="1" minValue="-399" maxValue="162"/>
    </cacheField>
    <cacheField name="Roster Status" numFmtId="0">
      <sharedItems containsSemiMixedTypes="0" containsString="0" containsNumber="1" containsInteger="1" minValue="0" maxValue="1"/>
    </cacheField>
    <cacheField name="Remaining Courses" numFmtId="0">
      <sharedItems containsSemiMixedTypes="0" containsString="0" containsNumber="1" containsInteger="1" minValue="0" maxValue="1"/>
    </cacheField>
    <cacheField name="1" numFmtId="0">
      <sharedItems containsSemiMixedTypes="0" containsString="0" containsNumber="1" containsInteger="1" minValue="0" maxValue="1"/>
    </cacheField>
    <cacheField name="2" numFmtId="0">
      <sharedItems containsString="0" containsBlank="1" containsNumber="1" containsInteger="1" minValue="0" maxValue="1"/>
    </cacheField>
    <cacheField name="Total" numFmtId="0">
      <sharedItems containsMixedTypes="1" containsNumber="1" containsInteger="1" minValue="0" maxValue="40"/>
    </cacheField>
    <cacheField name="Open Quotas" numFmtId="0">
      <sharedItems containsString="0" containsBlank="1" containsNumber="1" containsInteger="1" minValue="-4" maxValue="100"/>
    </cacheField>
    <cacheField name="QTR" numFmtId="0">
      <sharedItems containsString="0" containsBlank="1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">
  <r>
    <x v="0"/>
    <x v="0"/>
    <m/>
    <m/>
    <m/>
    <m/>
    <m/>
    <m/>
  </r>
  <r>
    <x v="0"/>
    <x v="1"/>
    <n v="0"/>
    <n v="6"/>
    <n v="21"/>
    <n v="0"/>
    <n v="1"/>
    <n v="8"/>
  </r>
  <r>
    <x v="0"/>
    <x v="2"/>
    <n v="2"/>
    <n v="19"/>
    <n v="36"/>
    <n v="7"/>
    <n v="13"/>
    <n v="9"/>
  </r>
  <r>
    <x v="0"/>
    <x v="3"/>
    <n v="2"/>
    <n v="18"/>
    <n v="44"/>
    <n v="15"/>
    <n v="8"/>
    <n v="23"/>
  </r>
  <r>
    <x v="0"/>
    <x v="4"/>
    <n v="0"/>
    <n v="10"/>
    <n v="34"/>
    <n v="5"/>
    <n v="8"/>
    <n v="7"/>
  </r>
  <r>
    <x v="0"/>
    <x v="5"/>
    <n v="2"/>
    <n v="15"/>
    <n v="34"/>
    <n v="15"/>
    <n v="11"/>
    <n v="22"/>
  </r>
  <r>
    <x v="0"/>
    <x v="6"/>
    <n v="0"/>
    <n v="1"/>
    <n v="41"/>
    <n v="7"/>
    <n v="8"/>
    <n v="17"/>
  </r>
  <r>
    <x v="0"/>
    <x v="7"/>
    <n v="2"/>
    <n v="322"/>
    <n v="48"/>
    <n v="15"/>
    <n v="9"/>
    <n v="17"/>
  </r>
  <r>
    <x v="0"/>
    <x v="8"/>
    <n v="2"/>
    <n v="14"/>
    <n v="41"/>
    <n v="15"/>
    <n v="8"/>
    <n v="21"/>
  </r>
  <r>
    <x v="0"/>
    <x v="9"/>
    <n v="2"/>
    <n v="19"/>
    <n v="45"/>
    <n v="15"/>
    <n v="11"/>
    <n v="24"/>
  </r>
  <r>
    <x v="0"/>
    <x v="10"/>
    <n v="4"/>
    <n v="13"/>
    <n v="38"/>
    <n v="15"/>
    <n v="6"/>
    <n v="17"/>
  </r>
  <r>
    <x v="0"/>
    <x v="11"/>
    <n v="0"/>
    <n v="19"/>
    <n v="40"/>
    <n v="6"/>
    <n v="9"/>
    <n v="1"/>
  </r>
  <r>
    <x v="0"/>
    <x v="12"/>
    <n v="2"/>
    <n v="19"/>
    <n v="33"/>
    <n v="18"/>
    <n v="7"/>
    <n v="1"/>
  </r>
  <r>
    <x v="0"/>
    <x v="13"/>
    <n v="0"/>
    <n v="19"/>
    <n v="40"/>
    <n v="6"/>
    <n v="12"/>
    <n v="18"/>
  </r>
  <r>
    <x v="0"/>
    <x v="14"/>
    <m/>
    <m/>
    <m/>
    <m/>
    <m/>
    <m/>
  </r>
  <r>
    <x v="0"/>
    <x v="15"/>
    <m/>
    <m/>
    <m/>
    <m/>
    <m/>
    <m/>
  </r>
  <r>
    <x v="0"/>
    <x v="16"/>
    <n v="0"/>
    <n v="30"/>
    <n v="74"/>
    <n v="18"/>
    <n v="37"/>
    <n v="52"/>
  </r>
  <r>
    <x v="1"/>
    <x v="0"/>
    <n v="0"/>
    <n v="2"/>
    <n v="0"/>
    <n v="0"/>
    <n v="9"/>
    <n v="3"/>
  </r>
  <r>
    <x v="1"/>
    <x v="1"/>
    <n v="0"/>
    <n v="0"/>
    <n v="5"/>
    <n v="0"/>
    <n v="5"/>
    <n v="2"/>
  </r>
  <r>
    <x v="1"/>
    <x v="2"/>
    <n v="0"/>
    <n v="2"/>
    <n v="35"/>
    <n v="0"/>
    <n v="10"/>
    <n v="3"/>
  </r>
  <r>
    <x v="1"/>
    <x v="3"/>
    <n v="0"/>
    <n v="13"/>
    <n v="56"/>
    <n v="3"/>
    <n v="16"/>
    <n v="17"/>
  </r>
  <r>
    <x v="1"/>
    <x v="4"/>
    <n v="0"/>
    <n v="5"/>
    <n v="23"/>
    <n v="3"/>
    <n v="4"/>
    <n v="2"/>
  </r>
  <r>
    <x v="1"/>
    <x v="5"/>
    <n v="0"/>
    <n v="12"/>
    <n v="64"/>
    <n v="3"/>
    <n v="17"/>
    <n v="21"/>
  </r>
  <r>
    <x v="1"/>
    <x v="6"/>
    <n v="0"/>
    <n v="8"/>
    <n v="33"/>
    <n v="3"/>
    <n v="17"/>
    <n v="32"/>
  </r>
  <r>
    <x v="1"/>
    <x v="7"/>
    <n v="0"/>
    <n v="12"/>
    <n v="47"/>
    <n v="9"/>
    <n v="16"/>
    <n v="19"/>
  </r>
  <r>
    <x v="1"/>
    <x v="8"/>
    <n v="0"/>
    <n v="6"/>
    <n v="33"/>
    <n v="3"/>
    <n v="13"/>
    <n v="14"/>
  </r>
  <r>
    <x v="1"/>
    <x v="9"/>
    <n v="0"/>
    <n v="11"/>
    <n v="37"/>
    <n v="4"/>
    <n v="13"/>
    <n v="16"/>
  </r>
  <r>
    <x v="1"/>
    <x v="10"/>
    <n v="0"/>
    <n v="13"/>
    <n v="76"/>
    <n v="10"/>
    <n v="16"/>
    <n v="23"/>
  </r>
  <r>
    <x v="1"/>
    <x v="11"/>
    <n v="0"/>
    <n v="6"/>
    <n v="24"/>
    <n v="3"/>
    <n v="4"/>
    <n v="4"/>
  </r>
  <r>
    <x v="1"/>
    <x v="12"/>
    <n v="0"/>
    <n v="10"/>
    <n v="19"/>
    <n v="3"/>
    <n v="6"/>
    <n v="7"/>
  </r>
  <r>
    <x v="1"/>
    <x v="13"/>
    <n v="0"/>
    <n v="5"/>
    <n v="27"/>
    <n v="0"/>
    <n v="7"/>
    <n v="4"/>
  </r>
  <r>
    <x v="1"/>
    <x v="14"/>
    <n v="0"/>
    <n v="0"/>
    <n v="6"/>
    <n v="0"/>
    <n v="5"/>
    <n v="6"/>
  </r>
  <r>
    <x v="1"/>
    <x v="15"/>
    <n v="0"/>
    <n v="0"/>
    <n v="0"/>
    <n v="0"/>
    <n v="5"/>
    <n v="1"/>
  </r>
  <r>
    <x v="1"/>
    <x v="16"/>
    <n v="0"/>
    <n v="10"/>
    <n v="17"/>
    <n v="7"/>
    <n v="14"/>
    <n v="5"/>
  </r>
  <r>
    <x v="2"/>
    <x v="0"/>
    <m/>
    <m/>
    <m/>
    <m/>
    <m/>
    <m/>
  </r>
  <r>
    <x v="2"/>
    <x v="1"/>
    <m/>
    <m/>
    <m/>
    <m/>
    <m/>
    <m/>
  </r>
  <r>
    <x v="2"/>
    <x v="2"/>
    <m/>
    <m/>
    <n v="6"/>
    <n v="3"/>
    <m/>
    <n v="6"/>
  </r>
  <r>
    <x v="2"/>
    <x v="3"/>
    <m/>
    <m/>
    <n v="4"/>
    <n v="3"/>
    <m/>
    <n v="5"/>
  </r>
  <r>
    <x v="2"/>
    <x v="4"/>
    <m/>
    <m/>
    <n v="7"/>
    <n v="4"/>
    <m/>
    <n v="8"/>
  </r>
  <r>
    <x v="2"/>
    <x v="5"/>
    <m/>
    <m/>
    <n v="7"/>
    <n v="4"/>
    <m/>
    <n v="14"/>
  </r>
  <r>
    <x v="2"/>
    <x v="6"/>
    <m/>
    <n v="1"/>
    <n v="4"/>
    <n v="3"/>
    <m/>
    <n v="6"/>
  </r>
  <r>
    <x v="2"/>
    <x v="7"/>
    <m/>
    <n v="1"/>
    <n v="7"/>
    <n v="3"/>
    <m/>
    <n v="11"/>
  </r>
  <r>
    <x v="2"/>
    <x v="8"/>
    <m/>
    <n v="1"/>
    <n v="4"/>
    <n v="3"/>
    <m/>
    <n v="4"/>
  </r>
  <r>
    <x v="2"/>
    <x v="9"/>
    <m/>
    <n v="1"/>
    <n v="4"/>
    <n v="3"/>
    <m/>
    <n v="4"/>
  </r>
  <r>
    <x v="2"/>
    <x v="10"/>
    <m/>
    <n v="1"/>
    <n v="5"/>
    <n v="3"/>
    <m/>
    <n v="6"/>
  </r>
  <r>
    <x v="2"/>
    <x v="11"/>
    <m/>
    <n v="1"/>
    <n v="6"/>
    <n v="3"/>
    <m/>
    <n v="5"/>
  </r>
  <r>
    <x v="2"/>
    <x v="12"/>
    <m/>
    <n v="1"/>
    <n v="4"/>
    <n v="12"/>
    <m/>
    <n v="9"/>
  </r>
  <r>
    <x v="2"/>
    <x v="13"/>
    <m/>
    <n v="1"/>
    <n v="12"/>
    <m/>
    <m/>
    <n v="2"/>
  </r>
  <r>
    <x v="2"/>
    <x v="14"/>
    <m/>
    <m/>
    <m/>
    <m/>
    <m/>
    <m/>
  </r>
  <r>
    <x v="2"/>
    <x v="15"/>
    <m/>
    <m/>
    <m/>
    <m/>
    <m/>
    <m/>
  </r>
  <r>
    <x v="2"/>
    <x v="16"/>
    <m/>
    <n v="1"/>
    <n v="9"/>
    <m/>
    <m/>
    <n v="5"/>
  </r>
  <r>
    <x v="3"/>
    <x v="0"/>
    <m/>
    <m/>
    <n v="2"/>
    <n v="18"/>
    <n v="27"/>
    <n v="153"/>
  </r>
  <r>
    <x v="3"/>
    <x v="1"/>
    <m/>
    <m/>
    <n v="2"/>
    <n v="6"/>
    <n v="15"/>
    <n v="230"/>
  </r>
  <r>
    <x v="3"/>
    <x v="2"/>
    <m/>
    <m/>
    <n v="12"/>
    <n v="31"/>
    <n v="30"/>
    <n v="242"/>
  </r>
  <r>
    <x v="3"/>
    <x v="3"/>
    <m/>
    <n v="1"/>
    <n v="4"/>
    <n v="3"/>
    <n v="5"/>
    <n v="34"/>
  </r>
  <r>
    <x v="3"/>
    <x v="4"/>
    <m/>
    <n v="1"/>
    <n v="4"/>
    <n v="9"/>
    <n v="19"/>
    <n v="149"/>
  </r>
  <r>
    <x v="3"/>
    <x v="5"/>
    <m/>
    <m/>
    <n v="24"/>
    <n v="22"/>
    <n v="5"/>
    <n v="95"/>
  </r>
  <r>
    <x v="3"/>
    <x v="6"/>
    <m/>
    <m/>
    <n v="2"/>
    <n v="1"/>
    <n v="3"/>
    <n v="24"/>
  </r>
  <r>
    <x v="3"/>
    <x v="7"/>
    <m/>
    <n v="15"/>
    <n v="3"/>
    <n v="33"/>
    <n v="59"/>
    <n v="282"/>
  </r>
  <r>
    <x v="3"/>
    <x v="8"/>
    <m/>
    <n v="1"/>
    <n v="4"/>
    <n v="2"/>
    <n v="5"/>
    <n v="41"/>
  </r>
  <r>
    <x v="3"/>
    <x v="9"/>
    <m/>
    <n v="5"/>
    <n v="32"/>
    <n v="27"/>
    <n v="52"/>
    <n v="205"/>
  </r>
  <r>
    <x v="3"/>
    <x v="10"/>
    <m/>
    <m/>
    <n v="12"/>
    <n v="11"/>
    <m/>
    <n v="32"/>
  </r>
  <r>
    <x v="3"/>
    <x v="11"/>
    <m/>
    <m/>
    <n v="1"/>
    <n v="4"/>
    <m/>
    <n v="12"/>
  </r>
  <r>
    <x v="3"/>
    <x v="12"/>
    <m/>
    <m/>
    <n v="20"/>
    <n v="31"/>
    <n v="20"/>
    <n v="123"/>
  </r>
  <r>
    <x v="3"/>
    <x v="13"/>
    <m/>
    <m/>
    <n v="1"/>
    <n v="5"/>
    <n v="2"/>
    <n v="16"/>
  </r>
  <r>
    <x v="3"/>
    <x v="14"/>
    <m/>
    <n v="8"/>
    <n v="62"/>
    <n v="70"/>
    <n v="85"/>
    <n v="694"/>
  </r>
  <r>
    <x v="3"/>
    <x v="15"/>
    <m/>
    <m/>
    <m/>
    <n v="8"/>
    <n v="3"/>
    <n v="20"/>
  </r>
  <r>
    <x v="3"/>
    <x v="16"/>
    <m/>
    <m/>
    <n v="1"/>
    <n v="4"/>
    <m/>
    <n v="12"/>
  </r>
  <r>
    <x v="4"/>
    <x v="0"/>
    <m/>
    <m/>
    <n v="2"/>
    <n v="1"/>
    <m/>
    <n v="1"/>
  </r>
  <r>
    <x v="4"/>
    <x v="1"/>
    <n v="1"/>
    <n v="5"/>
    <n v="4"/>
    <n v="2"/>
    <n v="8"/>
    <m/>
  </r>
  <r>
    <x v="4"/>
    <x v="2"/>
    <n v="2"/>
    <n v="5"/>
    <n v="21"/>
    <n v="10"/>
    <n v="15"/>
    <n v="11"/>
  </r>
  <r>
    <x v="4"/>
    <x v="3"/>
    <n v="2"/>
    <n v="5"/>
    <n v="9"/>
    <n v="8"/>
    <n v="8"/>
    <n v="5"/>
  </r>
  <r>
    <x v="4"/>
    <x v="4"/>
    <m/>
    <n v="5"/>
    <n v="7"/>
    <n v="1"/>
    <n v="1"/>
    <n v="6"/>
  </r>
  <r>
    <x v="4"/>
    <x v="5"/>
    <n v="2"/>
    <n v="5"/>
    <n v="10"/>
    <n v="7"/>
    <n v="8"/>
    <n v="17"/>
  </r>
  <r>
    <x v="4"/>
    <x v="6"/>
    <n v="2"/>
    <n v="5"/>
    <n v="14"/>
    <n v="8"/>
    <n v="8"/>
    <n v="10"/>
  </r>
  <r>
    <x v="4"/>
    <x v="7"/>
    <n v="2"/>
    <n v="5"/>
    <n v="13"/>
    <n v="7"/>
    <n v="8"/>
    <n v="9"/>
  </r>
  <r>
    <x v="4"/>
    <x v="8"/>
    <n v="2"/>
    <n v="5"/>
    <n v="19"/>
    <n v="8"/>
    <n v="8"/>
    <n v="10"/>
  </r>
  <r>
    <x v="4"/>
    <x v="9"/>
    <n v="2"/>
    <n v="5"/>
    <n v="21"/>
    <n v="7"/>
    <n v="8"/>
    <n v="8"/>
  </r>
  <r>
    <x v="4"/>
    <x v="10"/>
    <n v="2"/>
    <n v="5"/>
    <n v="17"/>
    <n v="7"/>
    <n v="8"/>
    <n v="9"/>
  </r>
  <r>
    <x v="4"/>
    <x v="11"/>
    <n v="3"/>
    <n v="12"/>
    <n v="50"/>
    <n v="11"/>
    <n v="17"/>
    <n v="32"/>
  </r>
  <r>
    <x v="4"/>
    <x v="12"/>
    <m/>
    <n v="7"/>
    <n v="16"/>
    <n v="1"/>
    <n v="1"/>
    <n v="2"/>
  </r>
  <r>
    <x v="4"/>
    <x v="13"/>
    <n v="3"/>
    <n v="12"/>
    <n v="50"/>
    <n v="11"/>
    <n v="17"/>
    <n v="32"/>
  </r>
  <r>
    <x v="4"/>
    <x v="14"/>
    <m/>
    <m/>
    <n v="5"/>
    <m/>
    <n v="1"/>
    <n v="4"/>
  </r>
  <r>
    <x v="4"/>
    <x v="15"/>
    <m/>
    <m/>
    <n v="5"/>
    <m/>
    <m/>
    <m/>
  </r>
  <r>
    <x v="4"/>
    <x v="16"/>
    <n v="5"/>
    <n v="15"/>
    <n v="123"/>
    <n v="21"/>
    <n v="99"/>
    <n v="66"/>
  </r>
  <r>
    <x v="5"/>
    <x v="0"/>
    <m/>
    <m/>
    <n v="1"/>
    <m/>
    <m/>
    <n v="0"/>
  </r>
  <r>
    <x v="5"/>
    <x v="1"/>
    <m/>
    <m/>
    <n v="9"/>
    <m/>
    <m/>
    <n v="0"/>
  </r>
  <r>
    <x v="5"/>
    <x v="2"/>
    <m/>
    <m/>
    <n v="16"/>
    <m/>
    <n v="2"/>
    <n v="5"/>
  </r>
  <r>
    <x v="5"/>
    <x v="3"/>
    <m/>
    <m/>
    <n v="14"/>
    <m/>
    <m/>
    <n v="10"/>
  </r>
  <r>
    <x v="5"/>
    <x v="4"/>
    <m/>
    <m/>
    <n v="9"/>
    <m/>
    <m/>
    <n v="10"/>
  </r>
  <r>
    <x v="5"/>
    <x v="5"/>
    <m/>
    <m/>
    <n v="14"/>
    <m/>
    <n v="1"/>
    <n v="10"/>
  </r>
  <r>
    <x v="5"/>
    <x v="6"/>
    <m/>
    <m/>
    <n v="13"/>
    <m/>
    <m/>
    <n v="11"/>
  </r>
  <r>
    <x v="5"/>
    <x v="7"/>
    <m/>
    <m/>
    <n v="16"/>
    <m/>
    <n v="1"/>
    <n v="10"/>
  </r>
  <r>
    <x v="5"/>
    <x v="8"/>
    <m/>
    <m/>
    <n v="11"/>
    <m/>
    <m/>
    <n v="7"/>
  </r>
  <r>
    <x v="5"/>
    <x v="9"/>
    <m/>
    <m/>
    <n v="13"/>
    <m/>
    <m/>
    <n v="12"/>
  </r>
  <r>
    <x v="5"/>
    <x v="10"/>
    <m/>
    <m/>
    <n v="15"/>
    <m/>
    <m/>
    <n v="12"/>
  </r>
  <r>
    <x v="5"/>
    <x v="11"/>
    <m/>
    <m/>
    <n v="19"/>
    <m/>
    <m/>
    <n v="2"/>
  </r>
  <r>
    <x v="5"/>
    <x v="12"/>
    <m/>
    <m/>
    <n v="18"/>
    <m/>
    <m/>
    <n v="5"/>
  </r>
  <r>
    <x v="5"/>
    <x v="13"/>
    <m/>
    <m/>
    <n v="18"/>
    <m/>
    <m/>
    <n v="4"/>
  </r>
  <r>
    <x v="5"/>
    <x v="14"/>
    <m/>
    <m/>
    <m/>
    <m/>
    <m/>
    <n v="0"/>
  </r>
  <r>
    <x v="5"/>
    <x v="15"/>
    <m/>
    <m/>
    <m/>
    <m/>
    <m/>
    <n v="0"/>
  </r>
  <r>
    <x v="5"/>
    <x v="16"/>
    <m/>
    <m/>
    <n v="37"/>
    <m/>
    <m/>
    <n v="0"/>
  </r>
  <r>
    <x v="6"/>
    <x v="0"/>
    <m/>
    <m/>
    <n v="6"/>
    <n v="0"/>
    <m/>
    <n v="11"/>
  </r>
  <r>
    <x v="6"/>
    <x v="1"/>
    <m/>
    <m/>
    <m/>
    <m/>
    <m/>
    <m/>
  </r>
  <r>
    <x v="6"/>
    <x v="2"/>
    <m/>
    <n v="2"/>
    <n v="15"/>
    <n v="1"/>
    <m/>
    <n v="7"/>
  </r>
  <r>
    <x v="6"/>
    <x v="3"/>
    <m/>
    <n v="1"/>
    <n v="47"/>
    <n v="2"/>
    <n v="27"/>
    <n v="24"/>
  </r>
  <r>
    <x v="6"/>
    <x v="4"/>
    <m/>
    <m/>
    <n v="16"/>
    <m/>
    <n v="23"/>
    <n v="7"/>
  </r>
  <r>
    <x v="6"/>
    <x v="5"/>
    <m/>
    <n v="2"/>
    <n v="30"/>
    <n v="4"/>
    <n v="3"/>
    <n v="40"/>
  </r>
  <r>
    <x v="6"/>
    <x v="6"/>
    <m/>
    <n v="1"/>
    <n v="29"/>
    <n v="2"/>
    <n v="24"/>
    <n v="24"/>
  </r>
  <r>
    <x v="6"/>
    <x v="7"/>
    <m/>
    <n v="4"/>
    <n v="59"/>
    <n v="2"/>
    <m/>
    <n v="18"/>
  </r>
  <r>
    <x v="6"/>
    <x v="8"/>
    <m/>
    <n v="1"/>
    <n v="35"/>
    <n v="2"/>
    <n v="20"/>
    <n v="29"/>
  </r>
  <r>
    <x v="6"/>
    <x v="9"/>
    <m/>
    <n v="1"/>
    <n v="53"/>
    <n v="2"/>
    <n v="26"/>
    <n v="16"/>
  </r>
  <r>
    <x v="6"/>
    <x v="10"/>
    <m/>
    <m/>
    <n v="24"/>
    <n v="2"/>
    <m/>
    <n v="25"/>
  </r>
  <r>
    <x v="6"/>
    <x v="11"/>
    <m/>
    <n v="3"/>
    <n v="21"/>
    <n v="30"/>
    <m/>
    <n v="24"/>
  </r>
  <r>
    <x v="6"/>
    <x v="12"/>
    <m/>
    <m/>
    <n v="13"/>
    <m/>
    <m/>
    <n v="54"/>
  </r>
  <r>
    <x v="6"/>
    <x v="13"/>
    <m/>
    <n v="3"/>
    <n v="27"/>
    <n v="21"/>
    <m/>
    <n v="20"/>
  </r>
  <r>
    <x v="6"/>
    <x v="14"/>
    <m/>
    <m/>
    <m/>
    <m/>
    <m/>
    <n v="2"/>
  </r>
  <r>
    <x v="6"/>
    <x v="15"/>
    <m/>
    <m/>
    <m/>
    <m/>
    <n v="2"/>
    <m/>
  </r>
  <r>
    <x v="6"/>
    <x v="16"/>
    <m/>
    <n v="7"/>
    <n v="77"/>
    <n v="30"/>
    <m/>
    <n v="50"/>
  </r>
  <r>
    <x v="7"/>
    <x v="0"/>
    <m/>
    <m/>
    <m/>
    <m/>
    <m/>
    <m/>
  </r>
  <r>
    <x v="7"/>
    <x v="1"/>
    <m/>
    <m/>
    <m/>
    <m/>
    <m/>
    <m/>
  </r>
  <r>
    <x v="7"/>
    <x v="2"/>
    <m/>
    <n v="2"/>
    <n v="20"/>
    <n v="1"/>
    <m/>
    <n v="2"/>
  </r>
  <r>
    <x v="7"/>
    <x v="3"/>
    <n v="2"/>
    <n v="15"/>
    <n v="12"/>
    <n v="6"/>
    <n v="5"/>
    <n v="10"/>
  </r>
  <r>
    <x v="7"/>
    <x v="4"/>
    <n v="7"/>
    <n v="6"/>
    <n v="49"/>
    <n v="1"/>
    <n v="10"/>
    <n v="10"/>
  </r>
  <r>
    <x v="7"/>
    <x v="5"/>
    <n v="18"/>
    <n v="15"/>
    <n v="66"/>
    <n v="6"/>
    <n v="26"/>
    <n v="27"/>
  </r>
  <r>
    <x v="7"/>
    <x v="6"/>
    <n v="2"/>
    <n v="11"/>
    <n v="5"/>
    <n v="5"/>
    <n v="4"/>
    <n v="5"/>
  </r>
  <r>
    <x v="7"/>
    <x v="7"/>
    <n v="3"/>
    <n v="15"/>
    <n v="75"/>
    <n v="5"/>
    <n v="25"/>
    <n v="22"/>
  </r>
  <r>
    <x v="7"/>
    <x v="8"/>
    <n v="2"/>
    <n v="14"/>
    <n v="4"/>
    <n v="3"/>
    <n v="2"/>
    <n v="2"/>
  </r>
  <r>
    <x v="7"/>
    <x v="9"/>
    <n v="3"/>
    <n v="11"/>
    <n v="19"/>
    <n v="5"/>
    <n v="27"/>
    <n v="19"/>
  </r>
  <r>
    <x v="7"/>
    <x v="10"/>
    <n v="2"/>
    <n v="14"/>
    <n v="10"/>
    <n v="3"/>
    <n v="2"/>
    <n v="3"/>
  </r>
  <r>
    <x v="7"/>
    <x v="11"/>
    <m/>
    <n v="2"/>
    <n v="11"/>
    <n v="1"/>
    <m/>
    <m/>
  </r>
  <r>
    <x v="7"/>
    <x v="12"/>
    <m/>
    <m/>
    <n v="9"/>
    <n v="1"/>
    <m/>
    <n v="2"/>
  </r>
  <r>
    <x v="7"/>
    <x v="13"/>
    <m/>
    <n v="2"/>
    <n v="14"/>
    <n v="1"/>
    <m/>
    <m/>
  </r>
  <r>
    <x v="7"/>
    <x v="14"/>
    <m/>
    <m/>
    <m/>
    <m/>
    <m/>
    <n v="1"/>
  </r>
  <r>
    <x v="7"/>
    <x v="15"/>
    <m/>
    <m/>
    <m/>
    <m/>
    <m/>
    <m/>
  </r>
  <r>
    <x v="7"/>
    <x v="16"/>
    <m/>
    <n v="4"/>
    <n v="6"/>
    <m/>
    <m/>
    <m/>
  </r>
  <r>
    <x v="8"/>
    <x v="0"/>
    <m/>
    <m/>
    <m/>
    <m/>
    <m/>
    <m/>
  </r>
  <r>
    <x v="8"/>
    <x v="1"/>
    <m/>
    <m/>
    <m/>
    <m/>
    <m/>
    <m/>
  </r>
  <r>
    <x v="8"/>
    <x v="2"/>
    <m/>
    <m/>
    <n v="23"/>
    <n v="3"/>
    <n v="2"/>
    <n v="17"/>
  </r>
  <r>
    <x v="8"/>
    <x v="3"/>
    <m/>
    <n v="2"/>
    <n v="20"/>
    <n v="4"/>
    <n v="4"/>
    <n v="15"/>
  </r>
  <r>
    <x v="8"/>
    <x v="4"/>
    <m/>
    <m/>
    <n v="2"/>
    <m/>
    <m/>
    <m/>
  </r>
  <r>
    <x v="8"/>
    <x v="5"/>
    <m/>
    <n v="2"/>
    <n v="30"/>
    <n v="4"/>
    <n v="4"/>
    <n v="22"/>
  </r>
  <r>
    <x v="8"/>
    <x v="6"/>
    <m/>
    <n v="2"/>
    <n v="2"/>
    <m/>
    <m/>
    <n v="1"/>
  </r>
  <r>
    <x v="8"/>
    <x v="7"/>
    <m/>
    <n v="2"/>
    <n v="44"/>
    <n v="9"/>
    <n v="9"/>
    <n v="28"/>
  </r>
  <r>
    <x v="8"/>
    <x v="8"/>
    <m/>
    <n v="2"/>
    <n v="5"/>
    <m/>
    <m/>
    <n v="3"/>
  </r>
  <r>
    <x v="8"/>
    <x v="9"/>
    <m/>
    <n v="2"/>
    <n v="32"/>
    <n v="5"/>
    <n v="5"/>
    <n v="23"/>
  </r>
  <r>
    <x v="8"/>
    <x v="10"/>
    <m/>
    <n v="2"/>
    <n v="15"/>
    <n v="4"/>
    <n v="4"/>
    <n v="14"/>
  </r>
  <r>
    <x v="8"/>
    <x v="11"/>
    <m/>
    <m/>
    <n v="4"/>
    <m/>
    <m/>
    <n v="3"/>
  </r>
  <r>
    <x v="8"/>
    <x v="12"/>
    <m/>
    <m/>
    <n v="21"/>
    <n v="2"/>
    <n v="2"/>
    <n v="12"/>
  </r>
  <r>
    <x v="8"/>
    <x v="13"/>
    <m/>
    <n v="4"/>
    <n v="3"/>
    <m/>
    <m/>
    <n v="2"/>
  </r>
  <r>
    <x v="8"/>
    <x v="14"/>
    <m/>
    <m/>
    <m/>
    <m/>
    <m/>
    <m/>
  </r>
  <r>
    <x v="8"/>
    <x v="15"/>
    <m/>
    <m/>
    <n v="10"/>
    <n v="2"/>
    <n v="2"/>
    <n v="6"/>
  </r>
  <r>
    <x v="8"/>
    <x v="16"/>
    <m/>
    <n v="1"/>
    <n v="9"/>
    <n v="2"/>
    <n v="2"/>
    <n v="7"/>
  </r>
  <r>
    <x v="9"/>
    <x v="0"/>
    <m/>
    <m/>
    <m/>
    <m/>
    <m/>
    <m/>
  </r>
  <r>
    <x v="9"/>
    <x v="1"/>
    <m/>
    <m/>
    <n v="1"/>
    <m/>
    <m/>
    <m/>
  </r>
  <r>
    <x v="9"/>
    <x v="2"/>
    <m/>
    <m/>
    <n v="1"/>
    <m/>
    <m/>
    <m/>
  </r>
  <r>
    <x v="9"/>
    <x v="3"/>
    <m/>
    <m/>
    <n v="1"/>
    <m/>
    <m/>
    <m/>
  </r>
  <r>
    <x v="9"/>
    <x v="4"/>
    <m/>
    <m/>
    <n v="2"/>
    <m/>
    <m/>
    <m/>
  </r>
  <r>
    <x v="9"/>
    <x v="5"/>
    <m/>
    <m/>
    <n v="1"/>
    <m/>
    <m/>
    <m/>
  </r>
  <r>
    <x v="9"/>
    <x v="6"/>
    <m/>
    <m/>
    <n v="1"/>
    <m/>
    <m/>
    <m/>
  </r>
  <r>
    <x v="9"/>
    <x v="7"/>
    <m/>
    <m/>
    <n v="1"/>
    <m/>
    <m/>
    <m/>
  </r>
  <r>
    <x v="9"/>
    <x v="8"/>
    <m/>
    <m/>
    <n v="1"/>
    <m/>
    <m/>
    <m/>
  </r>
  <r>
    <x v="9"/>
    <x v="9"/>
    <m/>
    <m/>
    <n v="1"/>
    <m/>
    <m/>
    <m/>
  </r>
  <r>
    <x v="9"/>
    <x v="10"/>
    <m/>
    <m/>
    <n v="6"/>
    <m/>
    <m/>
    <m/>
  </r>
  <r>
    <x v="9"/>
    <x v="11"/>
    <m/>
    <m/>
    <n v="1"/>
    <m/>
    <m/>
    <m/>
  </r>
  <r>
    <x v="9"/>
    <x v="12"/>
    <m/>
    <m/>
    <n v="1"/>
    <m/>
    <m/>
    <m/>
  </r>
  <r>
    <x v="9"/>
    <x v="13"/>
    <m/>
    <m/>
    <n v="1"/>
    <m/>
    <m/>
    <m/>
  </r>
  <r>
    <x v="9"/>
    <x v="14"/>
    <m/>
    <m/>
    <n v="0"/>
    <m/>
    <m/>
    <m/>
  </r>
  <r>
    <x v="9"/>
    <x v="15"/>
    <m/>
    <m/>
    <n v="1"/>
    <m/>
    <m/>
    <m/>
  </r>
  <r>
    <x v="9"/>
    <x v="16"/>
    <m/>
    <m/>
    <n v="2"/>
    <m/>
    <m/>
    <m/>
  </r>
  <r>
    <x v="10"/>
    <x v="0"/>
    <n v="0"/>
    <n v="0"/>
    <n v="69"/>
    <n v="0"/>
    <n v="0"/>
    <n v="0"/>
  </r>
  <r>
    <x v="10"/>
    <x v="1"/>
    <n v="4"/>
    <n v="4"/>
    <n v="68"/>
    <n v="0"/>
    <n v="2"/>
    <n v="3"/>
  </r>
  <r>
    <x v="10"/>
    <x v="2"/>
    <n v="4"/>
    <n v="4"/>
    <n v="106"/>
    <n v="0"/>
    <n v="2"/>
    <n v="4"/>
  </r>
  <r>
    <x v="10"/>
    <x v="3"/>
    <n v="4"/>
    <n v="4"/>
    <n v="40"/>
    <n v="0"/>
    <n v="0"/>
    <n v="2"/>
  </r>
  <r>
    <x v="10"/>
    <x v="4"/>
    <n v="4"/>
    <n v="4"/>
    <n v="127"/>
    <n v="0"/>
    <n v="2"/>
    <n v="2"/>
  </r>
  <r>
    <x v="10"/>
    <x v="5"/>
    <n v="4"/>
    <n v="4"/>
    <n v="69"/>
    <n v="0"/>
    <n v="2"/>
    <n v="4"/>
  </r>
  <r>
    <x v="10"/>
    <x v="6"/>
    <n v="4"/>
    <n v="4"/>
    <n v="47"/>
    <n v="0"/>
    <n v="0"/>
    <n v="1"/>
  </r>
  <r>
    <x v="10"/>
    <x v="7"/>
    <n v="4"/>
    <n v="4"/>
    <n v="111"/>
    <n v="0"/>
    <n v="5"/>
    <n v="16"/>
  </r>
  <r>
    <x v="10"/>
    <x v="8"/>
    <n v="1"/>
    <n v="1"/>
    <n v="41"/>
    <n v="0"/>
    <n v="0"/>
    <n v="1"/>
  </r>
  <r>
    <x v="10"/>
    <x v="9"/>
    <n v="4"/>
    <n v="4"/>
    <n v="120"/>
    <n v="0"/>
    <n v="2"/>
    <n v="18"/>
  </r>
  <r>
    <x v="10"/>
    <x v="10"/>
    <n v="3"/>
    <n v="3"/>
    <n v="61"/>
    <n v="0"/>
    <n v="0"/>
    <n v="1"/>
  </r>
  <r>
    <x v="10"/>
    <x v="11"/>
    <n v="10"/>
    <n v="10"/>
    <n v="71"/>
    <n v="0"/>
    <n v="0"/>
    <n v="0"/>
  </r>
  <r>
    <x v="10"/>
    <x v="12"/>
    <n v="8"/>
    <n v="8"/>
    <n v="142"/>
    <n v="0"/>
    <n v="0"/>
    <n v="3"/>
  </r>
  <r>
    <x v="10"/>
    <x v="13"/>
    <n v="10"/>
    <n v="12"/>
    <n v="88"/>
    <n v="0"/>
    <n v="1"/>
    <n v="4"/>
  </r>
  <r>
    <x v="10"/>
    <x v="14"/>
    <n v="0"/>
    <n v="0"/>
    <n v="641"/>
    <n v="0"/>
    <n v="0"/>
    <n v="2"/>
  </r>
  <r>
    <x v="10"/>
    <x v="15"/>
    <n v="0"/>
    <n v="0"/>
    <n v="26"/>
    <n v="0"/>
    <n v="0"/>
    <n v="0"/>
  </r>
  <r>
    <x v="10"/>
    <x v="16"/>
    <n v="15"/>
    <n v="15"/>
    <n v="61"/>
    <n v="0"/>
    <n v="0"/>
    <n v="0"/>
  </r>
  <r>
    <x v="11"/>
    <x v="0"/>
    <m/>
    <m/>
    <n v="3"/>
    <m/>
    <m/>
    <n v="7"/>
  </r>
  <r>
    <x v="11"/>
    <x v="1"/>
    <m/>
    <m/>
    <n v="47"/>
    <m/>
    <m/>
    <n v="5"/>
  </r>
  <r>
    <x v="11"/>
    <x v="2"/>
    <m/>
    <m/>
    <n v="37"/>
    <n v="10"/>
    <n v="15"/>
    <n v="73"/>
  </r>
  <r>
    <x v="11"/>
    <x v="3"/>
    <m/>
    <m/>
    <n v="49"/>
    <m/>
    <n v="2"/>
    <n v="68"/>
  </r>
  <r>
    <x v="11"/>
    <x v="4"/>
    <m/>
    <m/>
    <n v="22"/>
    <m/>
    <n v="2"/>
    <n v="52"/>
  </r>
  <r>
    <x v="11"/>
    <x v="5"/>
    <m/>
    <m/>
    <n v="44"/>
    <m/>
    <n v="19"/>
    <n v="67"/>
  </r>
  <r>
    <x v="11"/>
    <x v="6"/>
    <m/>
    <m/>
    <n v="23"/>
    <m/>
    <n v="14"/>
    <n v="49"/>
  </r>
  <r>
    <x v="11"/>
    <x v="7"/>
    <m/>
    <m/>
    <n v="31"/>
    <m/>
    <n v="51"/>
    <n v="50"/>
  </r>
  <r>
    <x v="11"/>
    <x v="8"/>
    <m/>
    <m/>
    <n v="31"/>
    <m/>
    <n v="17"/>
    <n v="62"/>
  </r>
  <r>
    <x v="11"/>
    <x v="9"/>
    <m/>
    <n v="3"/>
    <n v="59"/>
    <n v="5"/>
    <n v="12"/>
    <n v="47"/>
  </r>
  <r>
    <x v="11"/>
    <x v="10"/>
    <m/>
    <m/>
    <n v="24"/>
    <m/>
    <n v="9"/>
    <n v="35"/>
  </r>
  <r>
    <x v="11"/>
    <x v="11"/>
    <m/>
    <m/>
    <n v="28"/>
    <n v="5"/>
    <n v="17"/>
    <n v="33"/>
  </r>
  <r>
    <x v="11"/>
    <x v="12"/>
    <m/>
    <m/>
    <n v="59"/>
    <n v="10"/>
    <n v="8"/>
    <n v="44"/>
  </r>
  <r>
    <x v="11"/>
    <x v="13"/>
    <m/>
    <n v="2"/>
    <n v="60"/>
    <n v="5"/>
    <n v="20"/>
    <n v="73"/>
  </r>
  <r>
    <x v="11"/>
    <x v="14"/>
    <m/>
    <m/>
    <m/>
    <m/>
    <m/>
    <n v="9"/>
  </r>
  <r>
    <x v="11"/>
    <x v="15"/>
    <m/>
    <m/>
    <m/>
    <m/>
    <m/>
    <n v="1"/>
  </r>
  <r>
    <x v="11"/>
    <x v="16"/>
    <m/>
    <n v="2"/>
    <n v="99"/>
    <n v="10"/>
    <n v="13"/>
    <n v="63"/>
  </r>
  <r>
    <x v="12"/>
    <x v="0"/>
    <m/>
    <m/>
    <m/>
    <m/>
    <n v="3"/>
    <n v="19"/>
  </r>
  <r>
    <x v="12"/>
    <x v="1"/>
    <m/>
    <m/>
    <m/>
    <m/>
    <m/>
    <m/>
  </r>
  <r>
    <x v="12"/>
    <x v="2"/>
    <m/>
    <m/>
    <n v="6"/>
    <m/>
    <m/>
    <n v="5"/>
  </r>
  <r>
    <x v="12"/>
    <x v="3"/>
    <m/>
    <m/>
    <n v="10"/>
    <m/>
    <m/>
    <n v="10"/>
  </r>
  <r>
    <x v="12"/>
    <x v="4"/>
    <m/>
    <n v="10"/>
    <n v="14"/>
    <n v="10"/>
    <n v="3"/>
    <n v="65"/>
  </r>
  <r>
    <x v="12"/>
    <x v="5"/>
    <m/>
    <n v="20"/>
    <n v="30"/>
    <n v="3"/>
    <n v="5"/>
    <n v="43"/>
  </r>
  <r>
    <x v="12"/>
    <x v="6"/>
    <m/>
    <m/>
    <n v="6"/>
    <n v="5"/>
    <m/>
    <m/>
  </r>
  <r>
    <x v="12"/>
    <x v="7"/>
    <m/>
    <m/>
    <n v="10"/>
    <m/>
    <m/>
    <n v="2"/>
  </r>
  <r>
    <x v="12"/>
    <x v="8"/>
    <m/>
    <m/>
    <n v="10"/>
    <n v="20"/>
    <m/>
    <m/>
  </r>
  <r>
    <x v="12"/>
    <x v="9"/>
    <m/>
    <m/>
    <n v="10"/>
    <n v="20"/>
    <m/>
    <n v="2"/>
  </r>
  <r>
    <x v="12"/>
    <x v="10"/>
    <m/>
    <m/>
    <n v="6"/>
    <n v="20"/>
    <m/>
    <n v="17"/>
  </r>
  <r>
    <x v="12"/>
    <x v="11"/>
    <m/>
    <m/>
    <n v="10"/>
    <m/>
    <m/>
    <m/>
  </r>
  <r>
    <x v="12"/>
    <x v="12"/>
    <m/>
    <m/>
    <n v="4"/>
    <n v="10"/>
    <m/>
    <m/>
  </r>
  <r>
    <x v="12"/>
    <x v="13"/>
    <m/>
    <m/>
    <n v="10"/>
    <m/>
    <m/>
    <n v="4"/>
  </r>
  <r>
    <x v="12"/>
    <x v="14"/>
    <m/>
    <m/>
    <m/>
    <m/>
    <m/>
    <m/>
  </r>
  <r>
    <x v="12"/>
    <x v="15"/>
    <m/>
    <m/>
    <m/>
    <m/>
    <m/>
    <m/>
  </r>
  <r>
    <x v="12"/>
    <x v="16"/>
    <m/>
    <m/>
    <n v="16"/>
    <m/>
    <m/>
    <n v="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1">
  <r>
    <x v="0"/>
    <x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2"/>
    <n v="0"/>
    <n v="5"/>
  </r>
  <r>
    <x v="0"/>
    <x v="1"/>
    <n v="1"/>
    <n v="0"/>
    <n v="1"/>
    <n v="0"/>
    <n v="1"/>
    <n v="0"/>
    <n v="2"/>
    <n v="2"/>
    <n v="0"/>
    <n v="0"/>
    <n v="0"/>
    <n v="0"/>
    <n v="0"/>
    <n v="2"/>
    <m/>
    <n v="3"/>
    <n v="3"/>
    <n v="3"/>
    <n v="2"/>
    <n v="2"/>
    <n v="2"/>
    <n v="0"/>
    <n v="24"/>
  </r>
  <r>
    <x v="0"/>
    <x v="2"/>
    <n v="0"/>
    <n v="0"/>
    <n v="0"/>
    <n v="0"/>
    <n v="0"/>
    <n v="0"/>
    <n v="2"/>
    <n v="2"/>
    <n v="1"/>
    <n v="0"/>
    <n v="0"/>
    <n v="0"/>
    <n v="9"/>
    <n v="0"/>
    <n v="0"/>
    <n v="0"/>
    <n v="0"/>
    <n v="0"/>
    <n v="0"/>
    <n v="0"/>
    <n v="1"/>
    <n v="0"/>
    <n v="15"/>
  </r>
  <r>
    <x v="0"/>
    <x v="3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6"/>
    <n v="0"/>
    <n v="3"/>
    <n v="2"/>
    <n v="16"/>
  </r>
  <r>
    <x v="0"/>
    <x v="4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66"/>
  </r>
  <r>
    <x v="0"/>
    <x v="5"/>
    <m/>
    <m/>
    <m/>
    <m/>
    <m/>
    <m/>
    <m/>
    <m/>
    <m/>
    <m/>
    <m/>
    <m/>
    <m/>
    <m/>
    <m/>
    <m/>
    <m/>
    <m/>
    <m/>
    <m/>
    <m/>
    <m/>
    <n v="0"/>
  </r>
  <r>
    <x v="0"/>
    <x v="6"/>
    <n v="0"/>
    <n v="0"/>
    <n v="0"/>
    <n v="0"/>
    <n v="0"/>
    <n v="0"/>
    <n v="1"/>
    <n v="0"/>
    <n v="0"/>
    <n v="0"/>
    <n v="0"/>
    <n v="0"/>
    <n v="1"/>
    <n v="1"/>
    <n v="1"/>
    <n v="1"/>
    <n v="1"/>
    <n v="0"/>
    <n v="1"/>
    <n v="1"/>
    <n v="0"/>
    <n v="0"/>
    <n v="8"/>
  </r>
  <r>
    <x v="0"/>
    <x v="7"/>
    <n v="0"/>
    <n v="0"/>
    <n v="0"/>
    <n v="0"/>
    <n v="0"/>
    <n v="0"/>
    <n v="1"/>
    <n v="1"/>
    <n v="1"/>
    <n v="0"/>
    <n v="0"/>
    <n v="0"/>
    <n v="5"/>
    <n v="0"/>
    <n v="0"/>
    <n v="0"/>
    <n v="0"/>
    <n v="0"/>
    <n v="0"/>
    <n v="0"/>
    <n v="0"/>
    <n v="0"/>
    <n v="8"/>
  </r>
  <r>
    <x v="0"/>
    <x v="8"/>
    <n v="1"/>
    <n v="0"/>
    <n v="1"/>
    <n v="1"/>
    <n v="1"/>
    <n v="0"/>
    <n v="0"/>
    <n v="2"/>
    <n v="2"/>
    <n v="0"/>
    <n v="0"/>
    <n v="2"/>
    <n v="2"/>
    <n v="0"/>
    <n v="0"/>
    <n v="0"/>
    <n v="0"/>
    <n v="0"/>
    <n v="2"/>
    <n v="0"/>
    <n v="2"/>
    <n v="0"/>
    <n v="16"/>
  </r>
  <r>
    <x v="0"/>
    <x v="9"/>
    <n v="0"/>
    <n v="0"/>
    <n v="0"/>
    <n v="0"/>
    <n v="0"/>
    <n v="0"/>
    <n v="4"/>
    <n v="5"/>
    <n v="0"/>
    <n v="0"/>
    <n v="2"/>
    <n v="2"/>
    <n v="4"/>
    <n v="0"/>
    <n v="0"/>
    <n v="2"/>
    <n v="1"/>
    <n v="2"/>
    <n v="2"/>
    <n v="2"/>
    <n v="2"/>
    <n v="5"/>
    <n v="33"/>
  </r>
  <r>
    <x v="0"/>
    <x v="10"/>
    <n v="0"/>
    <n v="0"/>
    <n v="0"/>
    <n v="0"/>
    <n v="0"/>
    <n v="0"/>
    <n v="2"/>
    <n v="2"/>
    <n v="2"/>
    <n v="0"/>
    <n v="0"/>
    <n v="2"/>
    <n v="2"/>
    <n v="2"/>
    <n v="0"/>
    <n v="0"/>
    <n v="0"/>
    <n v="0"/>
    <n v="0"/>
    <n v="0"/>
    <n v="2"/>
    <n v="2"/>
    <n v="16"/>
  </r>
  <r>
    <x v="0"/>
    <x v="11"/>
    <n v="0"/>
    <n v="0"/>
    <n v="0"/>
    <n v="0"/>
    <n v="0"/>
    <n v="0"/>
    <n v="1"/>
    <n v="1"/>
    <n v="1"/>
    <n v="0"/>
    <n v="0"/>
    <n v="0"/>
    <n v="1"/>
    <n v="0"/>
    <n v="0"/>
    <n v="0"/>
    <n v="0"/>
    <n v="0"/>
    <n v="1"/>
    <n v="0"/>
    <n v="1"/>
    <n v="2"/>
    <n v="8"/>
  </r>
  <r>
    <x v="0"/>
    <x v="12"/>
    <m/>
    <m/>
    <m/>
    <m/>
    <m/>
    <m/>
    <m/>
    <m/>
    <m/>
    <m/>
    <m/>
    <m/>
    <m/>
    <m/>
    <m/>
    <m/>
    <m/>
    <m/>
    <m/>
    <m/>
    <m/>
    <m/>
    <n v="0"/>
  </r>
  <r>
    <x v="0"/>
    <x v="13"/>
    <m/>
    <m/>
    <m/>
    <m/>
    <m/>
    <m/>
    <m/>
    <m/>
    <m/>
    <m/>
    <m/>
    <m/>
    <m/>
    <m/>
    <m/>
    <m/>
    <m/>
    <m/>
    <m/>
    <m/>
    <m/>
    <m/>
    <n v="0"/>
  </r>
  <r>
    <x v="0"/>
    <x v="14"/>
    <n v="0"/>
    <n v="0"/>
    <n v="0"/>
    <n v="0"/>
    <n v="0"/>
    <n v="0"/>
    <n v="3"/>
    <n v="3"/>
    <n v="3"/>
    <n v="0"/>
    <n v="0"/>
    <n v="3"/>
    <n v="3"/>
    <n v="0"/>
    <n v="0"/>
    <n v="2"/>
    <n v="0"/>
    <n v="0"/>
    <n v="3"/>
    <n v="0"/>
    <n v="3"/>
    <n v="4"/>
    <n v="27"/>
  </r>
  <r>
    <x v="0"/>
    <x v="15"/>
    <n v="1"/>
    <n v="0"/>
    <n v="0"/>
    <n v="0"/>
    <n v="0"/>
    <n v="0"/>
    <n v="1"/>
    <n v="1"/>
    <n v="1"/>
    <n v="0"/>
    <n v="0"/>
    <n v="0"/>
    <n v="1"/>
    <n v="1"/>
    <n v="0"/>
    <n v="1"/>
    <n v="0"/>
    <n v="1"/>
    <n v="1"/>
    <n v="0"/>
    <n v="1"/>
    <n v="0"/>
    <n v="10"/>
  </r>
  <r>
    <x v="0"/>
    <x v="16"/>
    <m/>
    <m/>
    <m/>
    <m/>
    <m/>
    <m/>
    <m/>
    <m/>
    <m/>
    <m/>
    <m/>
    <m/>
    <m/>
    <m/>
    <m/>
    <m/>
    <m/>
    <m/>
    <m/>
    <m/>
    <m/>
    <m/>
    <n v="0"/>
  </r>
  <r>
    <x v="0"/>
    <x v="17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18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19"/>
    <n v="0"/>
    <n v="0"/>
    <n v="0"/>
    <n v="0"/>
    <n v="0"/>
    <n v="0"/>
    <n v="2"/>
    <n v="2"/>
    <n v="1"/>
    <n v="0"/>
    <n v="0"/>
    <n v="0"/>
    <n v="6"/>
    <n v="3"/>
    <n v="2"/>
    <n v="0"/>
    <n v="0"/>
    <n v="0"/>
    <n v="0"/>
    <n v="0"/>
    <n v="1"/>
    <n v="0"/>
    <n v="17"/>
  </r>
  <r>
    <x v="0"/>
    <x v="20"/>
    <n v="3"/>
    <n v="2"/>
    <n v="0"/>
    <n v="0"/>
    <n v="0"/>
    <n v="0"/>
    <n v="2"/>
    <n v="3"/>
    <n v="0"/>
    <n v="0"/>
    <n v="0"/>
    <n v="0"/>
    <n v="2"/>
    <n v="0"/>
    <n v="0"/>
    <n v="0"/>
    <n v="0"/>
    <n v="0"/>
    <n v="4"/>
    <n v="2"/>
    <n v="2"/>
    <n v="0"/>
    <n v="20"/>
  </r>
  <r>
    <x v="0"/>
    <x v="21"/>
    <n v="0"/>
    <n v="0"/>
    <n v="0"/>
    <n v="0"/>
    <n v="0"/>
    <n v="0"/>
    <n v="2"/>
    <n v="2"/>
    <n v="2"/>
    <n v="0"/>
    <n v="0"/>
    <n v="0"/>
    <n v="2"/>
    <n v="0"/>
    <n v="0"/>
    <n v="0"/>
    <n v="0"/>
    <n v="0"/>
    <n v="1"/>
    <n v="0"/>
    <n v="1"/>
    <n v="3"/>
    <n v="13"/>
  </r>
  <r>
    <x v="0"/>
    <x v="22"/>
    <n v="0"/>
    <n v="0"/>
    <n v="0"/>
    <n v="0"/>
    <n v="0"/>
    <n v="0"/>
    <n v="1"/>
    <n v="1"/>
    <n v="1"/>
    <n v="0"/>
    <n v="1"/>
    <n v="1"/>
    <n v="1"/>
    <n v="0"/>
    <n v="0"/>
    <n v="1"/>
    <n v="0"/>
    <n v="1"/>
    <n v="1"/>
    <n v="1"/>
    <n v="1"/>
    <n v="2"/>
    <n v="13"/>
  </r>
  <r>
    <x v="0"/>
    <x v="23"/>
    <m/>
    <m/>
    <m/>
    <m/>
    <m/>
    <m/>
    <m/>
    <m/>
    <m/>
    <m/>
    <m/>
    <m/>
    <m/>
    <m/>
    <m/>
    <m/>
    <m/>
    <m/>
    <m/>
    <m/>
    <m/>
    <m/>
    <n v="0"/>
  </r>
  <r>
    <x v="0"/>
    <x v="24"/>
    <n v="2"/>
    <n v="4"/>
    <n v="2"/>
    <n v="2"/>
    <n v="2"/>
    <n v="2"/>
    <n v="7"/>
    <n v="5"/>
    <n v="3"/>
    <n v="0"/>
    <n v="0"/>
    <n v="0"/>
    <n v="7"/>
    <n v="0"/>
    <n v="0"/>
    <n v="0"/>
    <n v="0"/>
    <n v="0"/>
    <n v="3"/>
    <n v="0"/>
    <n v="7"/>
    <n v="0"/>
    <n v="46"/>
  </r>
  <r>
    <x v="0"/>
    <x v="25"/>
    <n v="1"/>
    <n v="0"/>
    <n v="1"/>
    <n v="1"/>
    <n v="1"/>
    <n v="0"/>
    <n v="0"/>
    <n v="1"/>
    <n v="2"/>
    <n v="0"/>
    <n v="0"/>
    <n v="0"/>
    <n v="0"/>
    <n v="0"/>
    <n v="0"/>
    <n v="0"/>
    <n v="0"/>
    <n v="0"/>
    <n v="0"/>
    <n v="0"/>
    <n v="2"/>
    <n v="0"/>
    <n v="9"/>
  </r>
  <r>
    <x v="0"/>
    <x v="26"/>
    <n v="1"/>
    <n v="0"/>
    <n v="1"/>
    <n v="0"/>
    <n v="0"/>
    <n v="0"/>
    <n v="2"/>
    <n v="2"/>
    <n v="2"/>
    <n v="0"/>
    <n v="0"/>
    <n v="0"/>
    <n v="2"/>
    <n v="2"/>
    <n v="2"/>
    <n v="2"/>
    <n v="2"/>
    <n v="2"/>
    <n v="1"/>
    <n v="0"/>
    <n v="1"/>
    <n v="0"/>
    <n v="22"/>
  </r>
  <r>
    <x v="0"/>
    <x v="27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1"/>
    <n v="0"/>
    <n v="3"/>
    <n v="0"/>
    <n v="7"/>
  </r>
  <r>
    <x v="0"/>
    <x v="28"/>
    <m/>
    <n v="0"/>
    <n v="0"/>
    <n v="0"/>
    <n v="0"/>
    <n v="0"/>
    <n v="1"/>
    <n v="1"/>
    <n v="1"/>
    <n v="0"/>
    <n v="0"/>
    <n v="1"/>
    <n v="1"/>
    <n v="0"/>
    <n v="0"/>
    <m/>
    <m/>
    <m/>
    <m/>
    <m/>
    <m/>
    <m/>
    <n v="5"/>
  </r>
  <r>
    <x v="0"/>
    <x v="29"/>
    <m/>
    <m/>
    <m/>
    <m/>
    <m/>
    <m/>
    <m/>
    <m/>
    <m/>
    <m/>
    <m/>
    <m/>
    <m/>
    <m/>
    <m/>
    <m/>
    <m/>
    <m/>
    <m/>
    <m/>
    <m/>
    <m/>
    <n v="0"/>
  </r>
  <r>
    <x v="0"/>
    <x v="30"/>
    <n v="12"/>
    <n v="4"/>
    <n v="0"/>
    <n v="0"/>
    <n v="0"/>
    <n v="0"/>
    <n v="7"/>
    <n v="9"/>
    <n v="9"/>
    <n v="0"/>
    <n v="0"/>
    <n v="0"/>
    <n v="6"/>
    <n v="6"/>
    <n v="11"/>
    <n v="3"/>
    <n v="2"/>
    <n v="3"/>
    <n v="9"/>
    <n v="9"/>
    <n v="6"/>
    <n v="7"/>
    <n v="103"/>
  </r>
  <r>
    <x v="0"/>
    <x v="31"/>
    <m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32"/>
    <n v="0"/>
    <n v="0"/>
    <n v="0"/>
    <n v="0"/>
    <n v="0"/>
    <n v="0"/>
    <n v="0"/>
    <n v="0"/>
    <n v="1"/>
    <n v="0"/>
    <n v="0"/>
    <n v="0"/>
    <n v="4"/>
    <n v="0"/>
    <n v="0"/>
    <n v="0"/>
    <n v="0"/>
    <n v="0"/>
    <n v="0"/>
    <n v="0"/>
    <n v="1"/>
    <n v="0"/>
    <n v="6"/>
  </r>
  <r>
    <x v="0"/>
    <x v="33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4"/>
  </r>
  <r>
    <x v="0"/>
    <x v="34"/>
    <n v="1"/>
    <n v="0"/>
    <n v="1"/>
    <n v="0"/>
    <n v="1"/>
    <n v="0"/>
    <n v="1"/>
    <n v="1"/>
    <n v="0"/>
    <n v="0"/>
    <n v="0"/>
    <n v="0"/>
    <n v="1"/>
    <n v="0"/>
    <n v="0"/>
    <n v="0"/>
    <n v="0"/>
    <n v="0"/>
    <n v="1"/>
    <n v="0"/>
    <n v="1"/>
    <m/>
    <n v="8"/>
  </r>
  <r>
    <x v="0"/>
    <x v="35"/>
    <n v="0"/>
    <n v="0"/>
    <n v="0"/>
    <n v="0"/>
    <n v="0"/>
    <n v="0"/>
    <n v="3"/>
    <n v="5"/>
    <n v="0"/>
    <n v="0"/>
    <m/>
    <n v="0"/>
    <n v="0"/>
    <n v="0"/>
    <n v="0"/>
    <n v="0"/>
    <n v="0"/>
    <n v="0"/>
    <n v="0"/>
    <n v="0"/>
    <n v="1"/>
    <n v="0"/>
    <n v="9"/>
  </r>
  <r>
    <x v="0"/>
    <x v="36"/>
    <n v="0"/>
    <n v="0"/>
    <n v="0"/>
    <n v="0"/>
    <n v="0"/>
    <n v="0"/>
    <n v="1"/>
    <n v="3"/>
    <n v="1"/>
    <n v="0"/>
    <n v="0"/>
    <n v="0"/>
    <n v="12"/>
    <n v="0"/>
    <n v="0"/>
    <n v="0"/>
    <n v="0"/>
    <n v="0"/>
    <n v="0"/>
    <n v="0"/>
    <n v="2"/>
    <n v="0"/>
    <n v="19"/>
  </r>
  <r>
    <x v="0"/>
    <x v="37"/>
    <n v="3"/>
    <n v="0"/>
    <n v="3"/>
    <n v="0"/>
    <n v="2"/>
    <n v="0"/>
    <n v="1"/>
    <n v="0"/>
    <n v="5"/>
    <n v="0"/>
    <n v="1"/>
    <n v="0"/>
    <n v="9"/>
    <n v="4"/>
    <n v="0"/>
    <n v="1"/>
    <n v="0"/>
    <n v="2"/>
    <n v="4"/>
    <n v="1"/>
    <n v="4"/>
    <n v="2"/>
    <n v="42"/>
  </r>
  <r>
    <x v="0"/>
    <x v="38"/>
    <n v="0"/>
    <n v="0"/>
    <n v="0"/>
    <n v="0"/>
    <n v="0"/>
    <n v="0"/>
    <n v="2"/>
    <n v="1"/>
    <n v="1"/>
    <n v="0"/>
    <n v="0"/>
    <n v="0"/>
    <n v="4"/>
    <n v="0"/>
    <n v="0"/>
    <n v="0"/>
    <n v="0"/>
    <n v="0"/>
    <n v="0"/>
    <n v="0"/>
    <n v="2"/>
    <n v="0"/>
    <n v="10"/>
  </r>
  <r>
    <x v="0"/>
    <x v="3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2"/>
  </r>
  <r>
    <x v="0"/>
    <x v="4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1"/>
    <n v="0"/>
    <n v="0"/>
    <n v="0"/>
    <n v="3"/>
  </r>
  <r>
    <x v="0"/>
    <x v="41"/>
    <m/>
    <m/>
    <m/>
    <m/>
    <m/>
    <m/>
    <m/>
    <m/>
    <m/>
    <m/>
    <m/>
    <m/>
    <m/>
    <m/>
    <m/>
    <m/>
    <m/>
    <m/>
    <m/>
    <m/>
    <m/>
    <m/>
    <n v="0"/>
  </r>
  <r>
    <x v="0"/>
    <x v="42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0"/>
    <n v="0"/>
    <n v="0"/>
    <n v="0"/>
    <n v="8"/>
  </r>
  <r>
    <x v="0"/>
    <x v="43"/>
    <m/>
    <m/>
    <m/>
    <m/>
    <m/>
    <m/>
    <m/>
    <m/>
    <m/>
    <m/>
    <m/>
    <m/>
    <m/>
    <m/>
    <m/>
    <m/>
    <m/>
    <m/>
    <m/>
    <m/>
    <m/>
    <m/>
    <n v="0"/>
  </r>
  <r>
    <x v="0"/>
    <x v="4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2"/>
    <n v="0"/>
    <n v="3"/>
    <n v="0"/>
    <n v="8"/>
  </r>
  <r>
    <x v="0"/>
    <x v="4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1"/>
    <n v="0"/>
    <n v="5"/>
  </r>
  <r>
    <x v="0"/>
    <x v="46"/>
    <n v="3"/>
    <n v="4"/>
    <n v="0"/>
    <n v="0"/>
    <n v="0"/>
    <n v="0"/>
    <n v="6"/>
    <n v="6"/>
    <n v="3"/>
    <n v="0"/>
    <n v="0"/>
    <n v="0"/>
    <n v="6"/>
    <n v="0"/>
    <n v="0"/>
    <n v="3"/>
    <n v="0"/>
    <n v="3"/>
    <n v="6"/>
    <n v="0"/>
    <n v="3"/>
    <n v="0"/>
    <n v="43"/>
  </r>
  <r>
    <x v="0"/>
    <x v="47"/>
    <n v="2"/>
    <n v="2"/>
    <n v="2"/>
    <n v="2"/>
    <n v="0"/>
    <n v="0"/>
    <n v="1"/>
    <n v="1"/>
    <n v="0"/>
    <n v="0"/>
    <n v="0"/>
    <n v="0"/>
    <n v="0"/>
    <n v="0"/>
    <n v="0"/>
    <n v="0"/>
    <n v="0"/>
    <n v="0"/>
    <n v="1"/>
    <n v="0"/>
    <n v="2"/>
    <n v="0"/>
    <n v="13"/>
  </r>
  <r>
    <x v="0"/>
    <x v="48"/>
    <n v="1"/>
    <n v="0"/>
    <n v="1"/>
    <n v="0"/>
    <n v="1"/>
    <m/>
    <n v="1"/>
    <n v="1"/>
    <n v="1"/>
    <n v="0"/>
    <n v="0"/>
    <n v="0"/>
    <n v="1"/>
    <n v="1"/>
    <n v="0"/>
    <n v="0"/>
    <n v="0"/>
    <n v="0"/>
    <n v="1"/>
    <n v="0"/>
    <n v="1"/>
    <n v="0"/>
    <n v="10"/>
  </r>
  <r>
    <x v="0"/>
    <x v="49"/>
    <n v="2"/>
    <n v="0"/>
    <n v="2"/>
    <n v="0"/>
    <n v="0"/>
    <n v="0"/>
    <n v="2"/>
    <n v="2"/>
    <n v="3"/>
    <n v="0"/>
    <n v="0"/>
    <n v="0"/>
    <n v="2"/>
    <n v="0"/>
    <n v="0"/>
    <n v="0"/>
    <n v="0"/>
    <n v="0"/>
    <n v="3"/>
    <n v="0"/>
    <n v="2"/>
    <n v="0"/>
    <n v="18"/>
  </r>
  <r>
    <x v="0"/>
    <x v="50"/>
    <n v="1"/>
    <n v="0"/>
    <n v="1"/>
    <n v="0"/>
    <n v="0"/>
    <n v="0"/>
    <n v="1"/>
    <n v="1"/>
    <n v="1"/>
    <n v="0"/>
    <n v="0"/>
    <n v="0"/>
    <n v="2"/>
    <n v="0"/>
    <n v="0"/>
    <n v="1"/>
    <n v="0"/>
    <n v="1"/>
    <n v="2"/>
    <n v="0"/>
    <n v="1"/>
    <n v="0"/>
    <n v="12"/>
  </r>
  <r>
    <x v="0"/>
    <x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2"/>
  </r>
  <r>
    <x v="0"/>
    <x v="53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4"/>
    <n v="0"/>
    <n v="0"/>
    <n v="0"/>
    <n v="0"/>
    <n v="0"/>
    <n v="0"/>
    <n v="1"/>
    <n v="2"/>
    <n v="1"/>
    <n v="0"/>
    <n v="0"/>
    <n v="1"/>
    <n v="1"/>
    <n v="0"/>
    <n v="0"/>
    <n v="0"/>
    <n v="0"/>
    <n v="0"/>
    <n v="1"/>
    <n v="0"/>
    <n v="1"/>
    <n v="2"/>
    <n v="10"/>
  </r>
  <r>
    <x v="0"/>
    <x v="55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6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7"/>
    <n v="0"/>
    <n v="0"/>
    <n v="0"/>
    <n v="0"/>
    <n v="0"/>
    <n v="0"/>
    <n v="1"/>
    <n v="1"/>
    <n v="1"/>
    <n v="0"/>
    <n v="0"/>
    <n v="0"/>
    <n v="1"/>
    <n v="0"/>
    <n v="0"/>
    <n v="0"/>
    <n v="0"/>
    <n v="0"/>
    <n v="0"/>
    <n v="0"/>
    <n v="1"/>
    <n v="2"/>
    <n v="7"/>
  </r>
  <r>
    <x v="1"/>
    <x v="58"/>
    <m/>
    <m/>
    <m/>
    <m/>
    <m/>
    <m/>
    <m/>
    <m/>
    <m/>
    <m/>
    <m/>
    <m/>
    <m/>
    <m/>
    <m/>
    <m/>
    <m/>
    <m/>
    <m/>
    <m/>
    <m/>
    <m/>
    <n v="0"/>
  </r>
  <r>
    <x v="1"/>
    <x v="59"/>
    <m/>
    <m/>
    <m/>
    <m/>
    <m/>
    <m/>
    <m/>
    <m/>
    <m/>
    <m/>
    <m/>
    <m/>
    <m/>
    <m/>
    <m/>
    <m/>
    <m/>
    <m/>
    <m/>
    <m/>
    <m/>
    <m/>
    <n v="0"/>
  </r>
  <r>
    <x v="1"/>
    <x v="60"/>
    <m/>
    <m/>
    <m/>
    <m/>
    <m/>
    <m/>
    <m/>
    <m/>
    <m/>
    <m/>
    <m/>
    <m/>
    <m/>
    <m/>
    <m/>
    <m/>
    <m/>
    <m/>
    <m/>
    <m/>
    <m/>
    <m/>
    <n v="0"/>
  </r>
  <r>
    <x v="1"/>
    <x v="61"/>
    <n v="2"/>
    <m/>
    <m/>
    <m/>
    <m/>
    <m/>
    <m/>
    <m/>
    <m/>
    <m/>
    <m/>
    <m/>
    <m/>
    <m/>
    <m/>
    <m/>
    <m/>
    <m/>
    <m/>
    <m/>
    <n v="5"/>
    <m/>
    <n v="7"/>
  </r>
  <r>
    <x v="1"/>
    <x v="62"/>
    <m/>
    <m/>
    <m/>
    <m/>
    <m/>
    <m/>
    <m/>
    <n v="5"/>
    <m/>
    <m/>
    <m/>
    <m/>
    <m/>
    <m/>
    <m/>
    <m/>
    <m/>
    <m/>
    <n v="6"/>
    <m/>
    <n v="2"/>
    <m/>
    <n v="13"/>
  </r>
  <r>
    <x v="1"/>
    <x v="63"/>
    <m/>
    <m/>
    <m/>
    <m/>
    <m/>
    <m/>
    <m/>
    <m/>
    <m/>
    <m/>
    <m/>
    <m/>
    <m/>
    <m/>
    <m/>
    <m/>
    <m/>
    <m/>
    <m/>
    <m/>
    <m/>
    <m/>
    <n v="0"/>
  </r>
  <r>
    <x v="1"/>
    <x v="1"/>
    <m/>
    <m/>
    <m/>
    <m/>
    <m/>
    <m/>
    <m/>
    <m/>
    <m/>
    <m/>
    <m/>
    <m/>
    <m/>
    <m/>
    <m/>
    <m/>
    <m/>
    <m/>
    <m/>
    <m/>
    <m/>
    <m/>
    <n v="0"/>
  </r>
  <r>
    <x v="1"/>
    <x v="2"/>
    <m/>
    <m/>
    <m/>
    <m/>
    <m/>
    <m/>
    <m/>
    <m/>
    <m/>
    <m/>
    <m/>
    <m/>
    <m/>
    <m/>
    <m/>
    <m/>
    <m/>
    <m/>
    <m/>
    <m/>
    <m/>
    <m/>
    <n v="0"/>
  </r>
  <r>
    <x v="1"/>
    <x v="3"/>
    <n v="1"/>
    <n v="1"/>
    <n v="1"/>
    <n v="1"/>
    <n v="1"/>
    <n v="1"/>
    <n v="1"/>
    <n v="1"/>
    <n v="1"/>
    <n v="1"/>
    <n v="1"/>
    <n v="1"/>
    <n v="1"/>
    <n v="0"/>
    <n v="2"/>
    <n v="1"/>
    <n v="1"/>
    <n v="1"/>
    <n v="1"/>
    <n v="1"/>
    <n v="1"/>
    <n v="1"/>
    <n v="22"/>
  </r>
  <r>
    <x v="1"/>
    <x v="4"/>
    <m/>
    <m/>
    <m/>
    <m/>
    <m/>
    <m/>
    <m/>
    <m/>
    <m/>
    <m/>
    <m/>
    <m/>
    <m/>
    <m/>
    <m/>
    <m/>
    <m/>
    <m/>
    <m/>
    <m/>
    <m/>
    <m/>
    <n v="0"/>
  </r>
  <r>
    <x v="1"/>
    <x v="5"/>
    <m/>
    <m/>
    <m/>
    <m/>
    <m/>
    <m/>
    <m/>
    <m/>
    <m/>
    <m/>
    <m/>
    <m/>
    <m/>
    <m/>
    <m/>
    <m/>
    <m/>
    <m/>
    <m/>
    <m/>
    <m/>
    <m/>
    <n v="0"/>
  </r>
  <r>
    <x v="1"/>
    <x v="6"/>
    <n v="1"/>
    <n v="1"/>
    <m/>
    <m/>
    <m/>
    <m/>
    <m/>
    <m/>
    <m/>
    <m/>
    <m/>
    <m/>
    <m/>
    <m/>
    <m/>
    <m/>
    <m/>
    <m/>
    <m/>
    <m/>
    <n v="1"/>
    <m/>
    <n v="3"/>
  </r>
  <r>
    <x v="1"/>
    <x v="8"/>
    <m/>
    <m/>
    <m/>
    <m/>
    <m/>
    <m/>
    <m/>
    <m/>
    <m/>
    <m/>
    <m/>
    <m/>
    <m/>
    <m/>
    <m/>
    <m/>
    <m/>
    <m/>
    <m/>
    <m/>
    <m/>
    <m/>
    <n v="0"/>
  </r>
  <r>
    <x v="1"/>
    <x v="64"/>
    <m/>
    <m/>
    <m/>
    <m/>
    <m/>
    <m/>
    <n v="2"/>
    <m/>
    <m/>
    <m/>
    <m/>
    <m/>
    <m/>
    <m/>
    <m/>
    <m/>
    <m/>
    <m/>
    <m/>
    <m/>
    <m/>
    <m/>
    <n v="2"/>
  </r>
  <r>
    <x v="1"/>
    <x v="9"/>
    <n v="5"/>
    <n v="2"/>
    <n v="5"/>
    <n v="2"/>
    <n v="5"/>
    <n v="2"/>
    <n v="5"/>
    <n v="5"/>
    <m/>
    <m/>
    <m/>
    <m/>
    <m/>
    <n v="5"/>
    <n v="2"/>
    <m/>
    <m/>
    <m/>
    <n v="6"/>
    <m/>
    <n v="6"/>
    <m/>
    <n v="50"/>
  </r>
  <r>
    <x v="1"/>
    <x v="10"/>
    <m/>
    <m/>
    <m/>
    <m/>
    <m/>
    <m/>
    <m/>
    <m/>
    <m/>
    <m/>
    <m/>
    <m/>
    <m/>
    <m/>
    <m/>
    <m/>
    <m/>
    <m/>
    <m/>
    <m/>
    <m/>
    <m/>
    <n v="0"/>
  </r>
  <r>
    <x v="1"/>
    <x v="11"/>
    <m/>
    <m/>
    <m/>
    <m/>
    <m/>
    <m/>
    <m/>
    <m/>
    <m/>
    <m/>
    <m/>
    <m/>
    <m/>
    <m/>
    <m/>
    <m/>
    <m/>
    <m/>
    <m/>
    <m/>
    <m/>
    <m/>
    <n v="0"/>
  </r>
  <r>
    <x v="1"/>
    <x v="12"/>
    <m/>
    <m/>
    <m/>
    <m/>
    <m/>
    <m/>
    <m/>
    <m/>
    <m/>
    <m/>
    <m/>
    <m/>
    <m/>
    <m/>
    <m/>
    <m/>
    <m/>
    <m/>
    <m/>
    <m/>
    <m/>
    <m/>
    <n v="0"/>
  </r>
  <r>
    <x v="1"/>
    <x v="13"/>
    <m/>
    <m/>
    <m/>
    <m/>
    <m/>
    <m/>
    <m/>
    <m/>
    <m/>
    <m/>
    <m/>
    <m/>
    <m/>
    <m/>
    <m/>
    <m/>
    <m/>
    <m/>
    <m/>
    <m/>
    <m/>
    <m/>
    <n v="0"/>
  </r>
  <r>
    <x v="1"/>
    <x v="14"/>
    <m/>
    <n v="2"/>
    <m/>
    <m/>
    <n v="1"/>
    <n v="1"/>
    <m/>
    <n v="7"/>
    <m/>
    <m/>
    <m/>
    <m/>
    <n v="7"/>
    <m/>
    <m/>
    <m/>
    <m/>
    <m/>
    <n v="8"/>
    <m/>
    <n v="3"/>
    <m/>
    <n v="29"/>
  </r>
  <r>
    <x v="1"/>
    <x v="15"/>
    <m/>
    <m/>
    <m/>
    <m/>
    <m/>
    <m/>
    <m/>
    <m/>
    <m/>
    <m/>
    <m/>
    <m/>
    <m/>
    <m/>
    <m/>
    <m/>
    <m/>
    <m/>
    <m/>
    <m/>
    <m/>
    <m/>
    <n v="0"/>
  </r>
  <r>
    <x v="1"/>
    <x v="16"/>
    <m/>
    <m/>
    <m/>
    <m/>
    <m/>
    <m/>
    <m/>
    <m/>
    <m/>
    <m/>
    <m/>
    <m/>
    <m/>
    <m/>
    <m/>
    <m/>
    <m/>
    <m/>
    <m/>
    <m/>
    <m/>
    <m/>
    <n v="0"/>
  </r>
  <r>
    <x v="1"/>
    <x v="17"/>
    <m/>
    <m/>
    <m/>
    <m/>
    <m/>
    <m/>
    <m/>
    <n v="2"/>
    <m/>
    <m/>
    <m/>
    <m/>
    <m/>
    <m/>
    <m/>
    <m/>
    <m/>
    <m/>
    <n v="2"/>
    <m/>
    <n v="2"/>
    <m/>
    <n v="6"/>
  </r>
  <r>
    <x v="1"/>
    <x v="18"/>
    <m/>
    <m/>
    <m/>
    <m/>
    <m/>
    <m/>
    <m/>
    <m/>
    <m/>
    <m/>
    <m/>
    <m/>
    <m/>
    <n v="2"/>
    <n v="2"/>
    <m/>
    <m/>
    <m/>
    <m/>
    <m/>
    <m/>
    <m/>
    <n v="4"/>
  </r>
  <r>
    <x v="1"/>
    <x v="19"/>
    <m/>
    <m/>
    <m/>
    <m/>
    <m/>
    <m/>
    <m/>
    <m/>
    <m/>
    <m/>
    <m/>
    <m/>
    <m/>
    <m/>
    <n v="1"/>
    <m/>
    <m/>
    <m/>
    <n v="1"/>
    <m/>
    <n v="1"/>
    <m/>
    <n v="3"/>
  </r>
  <r>
    <x v="1"/>
    <x v="21"/>
    <m/>
    <m/>
    <m/>
    <m/>
    <m/>
    <m/>
    <n v="1"/>
    <n v="2"/>
    <m/>
    <m/>
    <m/>
    <m/>
    <n v="1"/>
    <n v="1"/>
    <m/>
    <m/>
    <m/>
    <m/>
    <n v="2"/>
    <m/>
    <n v="6"/>
    <m/>
    <n v="13"/>
  </r>
  <r>
    <x v="1"/>
    <x v="22"/>
    <m/>
    <m/>
    <m/>
    <m/>
    <m/>
    <m/>
    <m/>
    <m/>
    <m/>
    <m/>
    <m/>
    <m/>
    <m/>
    <m/>
    <m/>
    <m/>
    <m/>
    <m/>
    <m/>
    <m/>
    <m/>
    <m/>
    <n v="0"/>
  </r>
  <r>
    <x v="1"/>
    <x v="23"/>
    <n v="0"/>
    <n v="0"/>
    <n v="0"/>
    <n v="0"/>
    <n v="0"/>
    <n v="1"/>
    <n v="1"/>
    <n v="0"/>
    <n v="0"/>
    <n v="0"/>
    <n v="0"/>
    <n v="2"/>
    <n v="1"/>
    <n v="1"/>
    <n v="0"/>
    <n v="0"/>
    <n v="0"/>
    <n v="1"/>
    <n v="0"/>
    <n v="1"/>
    <n v="0"/>
    <n v="0"/>
    <n v="8"/>
  </r>
  <r>
    <x v="1"/>
    <x v="25"/>
    <m/>
    <m/>
    <m/>
    <m/>
    <m/>
    <m/>
    <n v="3"/>
    <n v="1"/>
    <m/>
    <m/>
    <m/>
    <m/>
    <n v="2"/>
    <n v="2"/>
    <m/>
    <n v="4"/>
    <m/>
    <n v="4"/>
    <n v="8"/>
    <m/>
    <n v="2"/>
    <m/>
    <n v="26"/>
  </r>
  <r>
    <x v="1"/>
    <x v="26"/>
    <m/>
    <m/>
    <m/>
    <m/>
    <m/>
    <m/>
    <n v="4"/>
    <n v="1"/>
    <m/>
    <m/>
    <m/>
    <m/>
    <n v="4"/>
    <n v="2"/>
    <m/>
    <n v="3"/>
    <m/>
    <n v="3"/>
    <n v="6"/>
    <m/>
    <n v="3"/>
    <m/>
    <n v="26"/>
  </r>
  <r>
    <x v="1"/>
    <x v="65"/>
    <n v="41"/>
    <n v="1"/>
    <m/>
    <m/>
    <m/>
    <m/>
    <m/>
    <n v="15"/>
    <m/>
    <m/>
    <m/>
    <m/>
    <n v="5"/>
    <m/>
    <m/>
    <n v="8"/>
    <m/>
    <m/>
    <n v="17"/>
    <m/>
    <n v="12"/>
    <m/>
    <n v="99"/>
  </r>
  <r>
    <x v="1"/>
    <x v="27"/>
    <n v="1"/>
    <n v="1"/>
    <m/>
    <m/>
    <n v="1"/>
    <n v="1"/>
    <m/>
    <m/>
    <m/>
    <m/>
    <m/>
    <m/>
    <m/>
    <m/>
    <m/>
    <m/>
    <m/>
    <m/>
    <n v="3"/>
    <m/>
    <n v="4"/>
    <m/>
    <n v="11"/>
  </r>
  <r>
    <x v="1"/>
    <x v="28"/>
    <m/>
    <m/>
    <m/>
    <m/>
    <m/>
    <m/>
    <m/>
    <m/>
    <m/>
    <m/>
    <m/>
    <m/>
    <m/>
    <m/>
    <m/>
    <m/>
    <m/>
    <m/>
    <m/>
    <m/>
    <m/>
    <m/>
    <n v="0"/>
  </r>
  <r>
    <x v="1"/>
    <x v="29"/>
    <n v="1"/>
    <m/>
    <n v="1"/>
    <m/>
    <n v="1"/>
    <m/>
    <n v="1"/>
    <n v="1"/>
    <n v="1"/>
    <m/>
    <m/>
    <m/>
    <n v="1"/>
    <n v="1"/>
    <m/>
    <m/>
    <m/>
    <m/>
    <n v="1"/>
    <m/>
    <m/>
    <m/>
    <n v="9"/>
  </r>
  <r>
    <x v="1"/>
    <x v="30"/>
    <n v="6"/>
    <n v="14"/>
    <n v="1"/>
    <n v="12"/>
    <n v="1"/>
    <n v="2"/>
    <n v="0"/>
    <n v="0"/>
    <n v="3"/>
    <n v="0"/>
    <n v="0"/>
    <n v="0"/>
    <n v="3"/>
    <n v="3"/>
    <n v="3"/>
    <n v="0"/>
    <n v="0"/>
    <n v="0"/>
    <n v="6"/>
    <n v="0"/>
    <n v="1"/>
    <n v="0"/>
    <n v="55"/>
  </r>
  <r>
    <x v="1"/>
    <x v="31"/>
    <m/>
    <m/>
    <m/>
    <m/>
    <m/>
    <m/>
    <m/>
    <n v="2"/>
    <m/>
    <m/>
    <m/>
    <m/>
    <n v="4"/>
    <m/>
    <m/>
    <m/>
    <m/>
    <m/>
    <n v="8"/>
    <m/>
    <n v="9"/>
    <m/>
    <n v="23"/>
  </r>
  <r>
    <x v="1"/>
    <x v="32"/>
    <m/>
    <m/>
    <m/>
    <m/>
    <m/>
    <m/>
    <m/>
    <m/>
    <m/>
    <m/>
    <m/>
    <m/>
    <m/>
    <m/>
    <m/>
    <m/>
    <m/>
    <m/>
    <m/>
    <m/>
    <m/>
    <m/>
    <n v="0"/>
  </r>
  <r>
    <x v="1"/>
    <x v="33"/>
    <m/>
    <m/>
    <m/>
    <m/>
    <m/>
    <m/>
    <m/>
    <m/>
    <m/>
    <m/>
    <m/>
    <m/>
    <m/>
    <m/>
    <m/>
    <m/>
    <m/>
    <m/>
    <n v="5"/>
    <m/>
    <n v="5"/>
    <m/>
    <n v="10"/>
  </r>
  <r>
    <x v="1"/>
    <x v="34"/>
    <m/>
    <m/>
    <m/>
    <m/>
    <m/>
    <m/>
    <n v="2"/>
    <n v="1"/>
    <m/>
    <m/>
    <m/>
    <m/>
    <n v="2"/>
    <n v="2"/>
    <m/>
    <n v="2"/>
    <m/>
    <n v="2"/>
    <n v="7"/>
    <m/>
    <n v="2"/>
    <m/>
    <n v="20"/>
  </r>
  <r>
    <x v="1"/>
    <x v="66"/>
    <m/>
    <m/>
    <m/>
    <m/>
    <m/>
    <m/>
    <m/>
    <m/>
    <m/>
    <m/>
    <m/>
    <m/>
    <m/>
    <m/>
    <m/>
    <m/>
    <m/>
    <m/>
    <m/>
    <m/>
    <m/>
    <m/>
    <n v="0"/>
  </r>
  <r>
    <x v="1"/>
    <x v="36"/>
    <n v="0"/>
    <n v="0"/>
    <n v="0"/>
    <n v="0"/>
    <n v="0"/>
    <n v="0"/>
    <n v="1"/>
    <n v="8"/>
    <n v="0"/>
    <n v="0"/>
    <n v="0"/>
    <n v="0"/>
    <n v="0"/>
    <n v="0"/>
    <n v="0"/>
    <n v="0"/>
    <n v="0"/>
    <n v="0"/>
    <n v="10"/>
    <n v="3"/>
    <n v="26"/>
    <n v="0"/>
    <n v="48"/>
  </r>
  <r>
    <x v="1"/>
    <x v="37"/>
    <m/>
    <m/>
    <m/>
    <m/>
    <m/>
    <m/>
    <m/>
    <m/>
    <m/>
    <m/>
    <m/>
    <m/>
    <m/>
    <m/>
    <m/>
    <m/>
    <m/>
    <m/>
    <m/>
    <m/>
    <m/>
    <m/>
    <n v="0"/>
  </r>
  <r>
    <x v="1"/>
    <x v="38"/>
    <m/>
    <m/>
    <m/>
    <m/>
    <m/>
    <m/>
    <m/>
    <m/>
    <m/>
    <m/>
    <m/>
    <m/>
    <m/>
    <m/>
    <m/>
    <m/>
    <m/>
    <m/>
    <m/>
    <m/>
    <m/>
    <m/>
    <n v="0"/>
  </r>
  <r>
    <x v="1"/>
    <x v="39"/>
    <m/>
    <m/>
    <m/>
    <m/>
    <m/>
    <m/>
    <m/>
    <m/>
    <m/>
    <m/>
    <m/>
    <m/>
    <m/>
    <m/>
    <m/>
    <m/>
    <m/>
    <m/>
    <m/>
    <m/>
    <m/>
    <m/>
    <n v="0"/>
  </r>
  <r>
    <x v="1"/>
    <x v="40"/>
    <m/>
    <m/>
    <m/>
    <m/>
    <m/>
    <m/>
    <m/>
    <m/>
    <m/>
    <m/>
    <m/>
    <m/>
    <m/>
    <m/>
    <m/>
    <m/>
    <m/>
    <m/>
    <m/>
    <m/>
    <m/>
    <m/>
    <n v="0"/>
  </r>
  <r>
    <x v="1"/>
    <x v="41"/>
    <m/>
    <m/>
    <m/>
    <m/>
    <m/>
    <m/>
    <m/>
    <m/>
    <m/>
    <m/>
    <m/>
    <m/>
    <m/>
    <m/>
    <m/>
    <m/>
    <m/>
    <m/>
    <m/>
    <m/>
    <m/>
    <m/>
    <n v="0"/>
  </r>
  <r>
    <x v="1"/>
    <x v="43"/>
    <n v="1"/>
    <m/>
    <n v="1"/>
    <m/>
    <m/>
    <m/>
    <m/>
    <m/>
    <n v="1"/>
    <m/>
    <m/>
    <m/>
    <m/>
    <m/>
    <m/>
    <m/>
    <m/>
    <m/>
    <n v="1"/>
    <m/>
    <m/>
    <m/>
    <n v="4"/>
  </r>
  <r>
    <x v="1"/>
    <x v="44"/>
    <m/>
    <m/>
    <n v="6"/>
    <n v="6"/>
    <n v="1"/>
    <n v="1"/>
    <m/>
    <m/>
    <m/>
    <m/>
    <m/>
    <m/>
    <m/>
    <m/>
    <m/>
    <m/>
    <m/>
    <m/>
    <n v="4"/>
    <m/>
    <n v="4"/>
    <m/>
    <n v="22"/>
  </r>
  <r>
    <x v="1"/>
    <x v="45"/>
    <m/>
    <m/>
    <m/>
    <m/>
    <m/>
    <m/>
    <m/>
    <m/>
    <m/>
    <m/>
    <m/>
    <m/>
    <m/>
    <m/>
    <m/>
    <m/>
    <m/>
    <m/>
    <m/>
    <m/>
    <m/>
    <m/>
    <n v="0"/>
  </r>
  <r>
    <x v="1"/>
    <x v="46"/>
    <n v="6"/>
    <n v="5"/>
    <n v="5"/>
    <n v="5"/>
    <n v="5"/>
    <n v="5"/>
    <n v="4"/>
    <n v="4"/>
    <n v="4"/>
    <m/>
    <m/>
    <m/>
    <n v="4"/>
    <n v="4"/>
    <n v="4"/>
    <m/>
    <m/>
    <m/>
    <n v="5"/>
    <n v="1"/>
    <n v="6"/>
    <m/>
    <n v="67"/>
  </r>
  <r>
    <x v="1"/>
    <x v="67"/>
    <m/>
    <m/>
    <m/>
    <m/>
    <m/>
    <m/>
    <n v="3"/>
    <m/>
    <m/>
    <m/>
    <m/>
    <m/>
    <m/>
    <n v="5"/>
    <m/>
    <m/>
    <m/>
    <m/>
    <n v="7"/>
    <m/>
    <n v="6"/>
    <m/>
    <n v="21"/>
  </r>
  <r>
    <x v="2"/>
    <x v="58"/>
    <m/>
    <m/>
    <m/>
    <m/>
    <m/>
    <m/>
    <m/>
    <m/>
    <m/>
    <m/>
    <m/>
    <m/>
    <m/>
    <m/>
    <m/>
    <m/>
    <m/>
    <m/>
    <m/>
    <m/>
    <m/>
    <m/>
    <n v="0"/>
  </r>
  <r>
    <x v="2"/>
    <x v="59"/>
    <m/>
    <m/>
    <m/>
    <m/>
    <m/>
    <m/>
    <m/>
    <m/>
    <m/>
    <m/>
    <m/>
    <m/>
    <m/>
    <m/>
    <m/>
    <m/>
    <m/>
    <m/>
    <m/>
    <m/>
    <m/>
    <m/>
    <n v="0"/>
  </r>
  <r>
    <x v="2"/>
    <x v="60"/>
    <m/>
    <m/>
    <m/>
    <m/>
    <m/>
    <m/>
    <m/>
    <m/>
    <m/>
    <m/>
    <m/>
    <m/>
    <m/>
    <m/>
    <m/>
    <m/>
    <m/>
    <m/>
    <m/>
    <m/>
    <m/>
    <m/>
    <n v="0"/>
  </r>
  <r>
    <x v="2"/>
    <x v="61"/>
    <m/>
    <m/>
    <m/>
    <m/>
    <m/>
    <m/>
    <m/>
    <m/>
    <m/>
    <m/>
    <m/>
    <m/>
    <m/>
    <m/>
    <m/>
    <m/>
    <m/>
    <m/>
    <m/>
    <m/>
    <m/>
    <m/>
    <n v="0"/>
  </r>
  <r>
    <x v="2"/>
    <x v="62"/>
    <m/>
    <m/>
    <m/>
    <m/>
    <m/>
    <m/>
    <m/>
    <m/>
    <m/>
    <m/>
    <m/>
    <m/>
    <m/>
    <m/>
    <m/>
    <m/>
    <m/>
    <m/>
    <m/>
    <m/>
    <m/>
    <m/>
    <n v="0"/>
  </r>
  <r>
    <x v="2"/>
    <x v="63"/>
    <m/>
    <m/>
    <m/>
    <m/>
    <m/>
    <m/>
    <m/>
    <m/>
    <m/>
    <m/>
    <m/>
    <m/>
    <m/>
    <m/>
    <m/>
    <m/>
    <m/>
    <m/>
    <m/>
    <m/>
    <m/>
    <m/>
    <n v="0"/>
  </r>
  <r>
    <x v="2"/>
    <x v="1"/>
    <m/>
    <m/>
    <m/>
    <m/>
    <m/>
    <m/>
    <m/>
    <m/>
    <m/>
    <m/>
    <m/>
    <m/>
    <m/>
    <m/>
    <m/>
    <m/>
    <m/>
    <m/>
    <m/>
    <m/>
    <m/>
    <m/>
    <n v="0"/>
  </r>
  <r>
    <x v="2"/>
    <x v="2"/>
    <m/>
    <m/>
    <m/>
    <m/>
    <m/>
    <m/>
    <n v="1"/>
    <n v="1"/>
    <m/>
    <m/>
    <m/>
    <m/>
    <n v="1"/>
    <m/>
    <m/>
    <m/>
    <m/>
    <m/>
    <m/>
    <m/>
    <m/>
    <m/>
    <n v="3"/>
  </r>
  <r>
    <x v="2"/>
    <x v="3"/>
    <m/>
    <m/>
    <m/>
    <m/>
    <m/>
    <m/>
    <m/>
    <m/>
    <m/>
    <m/>
    <m/>
    <m/>
    <m/>
    <m/>
    <m/>
    <m/>
    <m/>
    <m/>
    <m/>
    <m/>
    <m/>
    <m/>
    <n v="0"/>
  </r>
  <r>
    <x v="2"/>
    <x v="4"/>
    <m/>
    <m/>
    <m/>
    <m/>
    <m/>
    <m/>
    <m/>
    <m/>
    <m/>
    <m/>
    <m/>
    <m/>
    <m/>
    <m/>
    <m/>
    <m/>
    <m/>
    <m/>
    <m/>
    <m/>
    <m/>
    <m/>
    <n v="0"/>
  </r>
  <r>
    <x v="2"/>
    <x v="5"/>
    <m/>
    <m/>
    <m/>
    <m/>
    <m/>
    <m/>
    <m/>
    <m/>
    <m/>
    <m/>
    <m/>
    <m/>
    <m/>
    <m/>
    <m/>
    <m/>
    <m/>
    <m/>
    <m/>
    <m/>
    <m/>
    <m/>
    <n v="0"/>
  </r>
  <r>
    <x v="2"/>
    <x v="6"/>
    <m/>
    <m/>
    <m/>
    <m/>
    <m/>
    <m/>
    <m/>
    <m/>
    <m/>
    <m/>
    <m/>
    <m/>
    <m/>
    <m/>
    <m/>
    <m/>
    <m/>
    <m/>
    <m/>
    <m/>
    <m/>
    <m/>
    <n v="0"/>
  </r>
  <r>
    <x v="2"/>
    <x v="8"/>
    <m/>
    <m/>
    <m/>
    <m/>
    <m/>
    <m/>
    <m/>
    <m/>
    <m/>
    <m/>
    <m/>
    <m/>
    <m/>
    <m/>
    <m/>
    <m/>
    <m/>
    <m/>
    <m/>
    <m/>
    <m/>
    <m/>
    <n v="0"/>
  </r>
  <r>
    <x v="2"/>
    <x v="64"/>
    <m/>
    <m/>
    <m/>
    <m/>
    <m/>
    <m/>
    <m/>
    <m/>
    <m/>
    <m/>
    <m/>
    <m/>
    <m/>
    <m/>
    <m/>
    <m/>
    <m/>
    <m/>
    <m/>
    <m/>
    <m/>
    <m/>
    <n v="0"/>
  </r>
  <r>
    <x v="2"/>
    <x v="9"/>
    <m/>
    <m/>
    <m/>
    <m/>
    <m/>
    <m/>
    <m/>
    <m/>
    <m/>
    <m/>
    <m/>
    <m/>
    <m/>
    <m/>
    <m/>
    <m/>
    <m/>
    <m/>
    <m/>
    <m/>
    <m/>
    <m/>
    <n v="0"/>
  </r>
  <r>
    <x v="2"/>
    <x v="10"/>
    <m/>
    <m/>
    <m/>
    <m/>
    <m/>
    <m/>
    <m/>
    <m/>
    <m/>
    <m/>
    <m/>
    <m/>
    <m/>
    <m/>
    <m/>
    <m/>
    <m/>
    <m/>
    <m/>
    <m/>
    <m/>
    <m/>
    <n v="0"/>
  </r>
  <r>
    <x v="2"/>
    <x v="11"/>
    <m/>
    <m/>
    <m/>
    <m/>
    <m/>
    <m/>
    <m/>
    <m/>
    <m/>
    <m/>
    <m/>
    <m/>
    <m/>
    <m/>
    <m/>
    <m/>
    <m/>
    <m/>
    <m/>
    <m/>
    <m/>
    <m/>
    <n v="0"/>
  </r>
  <r>
    <x v="2"/>
    <x v="12"/>
    <m/>
    <m/>
    <m/>
    <m/>
    <m/>
    <m/>
    <m/>
    <m/>
    <m/>
    <m/>
    <m/>
    <m/>
    <m/>
    <m/>
    <m/>
    <m/>
    <m/>
    <m/>
    <m/>
    <m/>
    <m/>
    <m/>
    <n v="0"/>
  </r>
  <r>
    <x v="2"/>
    <x v="13"/>
    <m/>
    <m/>
    <m/>
    <m/>
    <m/>
    <m/>
    <m/>
    <m/>
    <m/>
    <m/>
    <m/>
    <m/>
    <m/>
    <m/>
    <m/>
    <m/>
    <m/>
    <m/>
    <m/>
    <m/>
    <m/>
    <m/>
    <n v="0"/>
  </r>
  <r>
    <x v="2"/>
    <x v="14"/>
    <m/>
    <m/>
    <m/>
    <m/>
    <m/>
    <m/>
    <m/>
    <m/>
    <m/>
    <m/>
    <m/>
    <m/>
    <m/>
    <m/>
    <m/>
    <m/>
    <m/>
    <m/>
    <m/>
    <m/>
    <m/>
    <m/>
    <n v="0"/>
  </r>
  <r>
    <x v="2"/>
    <x v="15"/>
    <m/>
    <m/>
    <m/>
    <m/>
    <m/>
    <m/>
    <m/>
    <m/>
    <m/>
    <m/>
    <m/>
    <m/>
    <m/>
    <m/>
    <m/>
    <m/>
    <m/>
    <m/>
    <m/>
    <m/>
    <m/>
    <m/>
    <n v="0"/>
  </r>
  <r>
    <x v="2"/>
    <x v="16"/>
    <m/>
    <m/>
    <m/>
    <m/>
    <m/>
    <m/>
    <m/>
    <m/>
    <m/>
    <m/>
    <m/>
    <m/>
    <m/>
    <m/>
    <m/>
    <m/>
    <m/>
    <m/>
    <m/>
    <m/>
    <m/>
    <m/>
    <n v="0"/>
  </r>
  <r>
    <x v="2"/>
    <x v="17"/>
    <m/>
    <m/>
    <m/>
    <m/>
    <m/>
    <m/>
    <m/>
    <m/>
    <m/>
    <m/>
    <m/>
    <m/>
    <m/>
    <m/>
    <m/>
    <m/>
    <m/>
    <m/>
    <m/>
    <m/>
    <m/>
    <m/>
    <n v="0"/>
  </r>
  <r>
    <x v="2"/>
    <x v="18"/>
    <m/>
    <m/>
    <m/>
    <m/>
    <m/>
    <m/>
    <m/>
    <m/>
    <m/>
    <m/>
    <m/>
    <m/>
    <m/>
    <m/>
    <m/>
    <m/>
    <m/>
    <m/>
    <m/>
    <m/>
    <m/>
    <m/>
    <n v="0"/>
  </r>
  <r>
    <x v="2"/>
    <x v="19"/>
    <m/>
    <m/>
    <m/>
    <m/>
    <m/>
    <m/>
    <m/>
    <m/>
    <m/>
    <m/>
    <m/>
    <m/>
    <m/>
    <m/>
    <m/>
    <m/>
    <m/>
    <m/>
    <m/>
    <m/>
    <m/>
    <m/>
    <n v="0"/>
  </r>
  <r>
    <x v="2"/>
    <x v="21"/>
    <m/>
    <m/>
    <m/>
    <m/>
    <m/>
    <m/>
    <m/>
    <m/>
    <m/>
    <m/>
    <m/>
    <m/>
    <m/>
    <m/>
    <m/>
    <m/>
    <m/>
    <m/>
    <m/>
    <m/>
    <m/>
    <m/>
    <n v="0"/>
  </r>
  <r>
    <x v="2"/>
    <x v="22"/>
    <m/>
    <m/>
    <m/>
    <m/>
    <m/>
    <m/>
    <m/>
    <m/>
    <m/>
    <m/>
    <m/>
    <m/>
    <m/>
    <m/>
    <m/>
    <m/>
    <m/>
    <m/>
    <m/>
    <m/>
    <m/>
    <m/>
    <n v="0"/>
  </r>
  <r>
    <x v="2"/>
    <x v="23"/>
    <m/>
    <m/>
    <m/>
    <m/>
    <m/>
    <m/>
    <m/>
    <m/>
    <m/>
    <m/>
    <m/>
    <m/>
    <m/>
    <m/>
    <m/>
    <m/>
    <m/>
    <m/>
    <m/>
    <m/>
    <m/>
    <m/>
    <n v="0"/>
  </r>
  <r>
    <x v="2"/>
    <x v="25"/>
    <m/>
    <m/>
    <m/>
    <m/>
    <m/>
    <m/>
    <m/>
    <m/>
    <m/>
    <m/>
    <m/>
    <m/>
    <m/>
    <m/>
    <m/>
    <m/>
    <m/>
    <m/>
    <m/>
    <m/>
    <m/>
    <m/>
    <n v="0"/>
  </r>
  <r>
    <x v="2"/>
    <x v="26"/>
    <m/>
    <m/>
    <m/>
    <m/>
    <m/>
    <m/>
    <m/>
    <m/>
    <m/>
    <m/>
    <m/>
    <m/>
    <m/>
    <m/>
    <m/>
    <m/>
    <m/>
    <m/>
    <m/>
    <m/>
    <m/>
    <m/>
    <n v="0"/>
  </r>
  <r>
    <x v="2"/>
    <x v="65"/>
    <n v="2"/>
    <m/>
    <m/>
    <m/>
    <m/>
    <m/>
    <n v="5"/>
    <n v="5"/>
    <n v="4"/>
    <n v="1"/>
    <m/>
    <m/>
    <n v="4"/>
    <n v="7"/>
    <n v="5"/>
    <m/>
    <m/>
    <m/>
    <n v="2"/>
    <m/>
    <n v="2"/>
    <n v="2"/>
    <n v="39"/>
  </r>
  <r>
    <x v="2"/>
    <x v="27"/>
    <m/>
    <m/>
    <m/>
    <m/>
    <m/>
    <m/>
    <m/>
    <m/>
    <m/>
    <m/>
    <m/>
    <m/>
    <m/>
    <m/>
    <m/>
    <m/>
    <m/>
    <m/>
    <m/>
    <m/>
    <m/>
    <m/>
    <n v="0"/>
  </r>
  <r>
    <x v="2"/>
    <x v="28"/>
    <m/>
    <m/>
    <m/>
    <m/>
    <m/>
    <m/>
    <m/>
    <m/>
    <m/>
    <m/>
    <m/>
    <m/>
    <m/>
    <m/>
    <m/>
    <m/>
    <m/>
    <m/>
    <m/>
    <m/>
    <m/>
    <m/>
    <n v="0"/>
  </r>
  <r>
    <x v="2"/>
    <x v="29"/>
    <m/>
    <m/>
    <m/>
    <m/>
    <m/>
    <m/>
    <m/>
    <m/>
    <m/>
    <m/>
    <m/>
    <m/>
    <m/>
    <m/>
    <m/>
    <m/>
    <m/>
    <m/>
    <m/>
    <m/>
    <m/>
    <m/>
    <n v="0"/>
  </r>
  <r>
    <x v="2"/>
    <x v="30"/>
    <m/>
    <m/>
    <m/>
    <m/>
    <m/>
    <m/>
    <n v="3"/>
    <n v="3"/>
    <n v="3"/>
    <m/>
    <n v="3"/>
    <m/>
    <n v="3"/>
    <n v="4"/>
    <n v="4"/>
    <m/>
    <m/>
    <m/>
    <n v="2"/>
    <m/>
    <n v="3"/>
    <n v="2"/>
    <n v="30"/>
  </r>
  <r>
    <x v="2"/>
    <x v="31"/>
    <m/>
    <m/>
    <m/>
    <m/>
    <m/>
    <m/>
    <m/>
    <m/>
    <m/>
    <m/>
    <m/>
    <m/>
    <m/>
    <m/>
    <m/>
    <m/>
    <m/>
    <m/>
    <m/>
    <m/>
    <m/>
    <m/>
    <n v="0"/>
  </r>
  <r>
    <x v="2"/>
    <x v="32"/>
    <m/>
    <m/>
    <m/>
    <m/>
    <m/>
    <m/>
    <m/>
    <m/>
    <m/>
    <m/>
    <m/>
    <m/>
    <m/>
    <m/>
    <m/>
    <m/>
    <m/>
    <m/>
    <m/>
    <m/>
    <m/>
    <m/>
    <n v="0"/>
  </r>
  <r>
    <x v="2"/>
    <x v="33"/>
    <m/>
    <m/>
    <m/>
    <m/>
    <m/>
    <m/>
    <m/>
    <m/>
    <m/>
    <m/>
    <m/>
    <m/>
    <m/>
    <m/>
    <m/>
    <m/>
    <m/>
    <m/>
    <m/>
    <m/>
    <m/>
    <m/>
    <n v="0"/>
  </r>
  <r>
    <x v="2"/>
    <x v="34"/>
    <m/>
    <m/>
    <m/>
    <m/>
    <m/>
    <m/>
    <m/>
    <m/>
    <m/>
    <m/>
    <m/>
    <m/>
    <m/>
    <m/>
    <m/>
    <m/>
    <m/>
    <m/>
    <m/>
    <m/>
    <m/>
    <m/>
    <n v="0"/>
  </r>
  <r>
    <x v="2"/>
    <x v="66"/>
    <m/>
    <m/>
    <m/>
    <m/>
    <m/>
    <m/>
    <m/>
    <m/>
    <m/>
    <m/>
    <m/>
    <m/>
    <m/>
    <m/>
    <m/>
    <m/>
    <m/>
    <m/>
    <m/>
    <m/>
    <m/>
    <m/>
    <n v="0"/>
  </r>
  <r>
    <x v="2"/>
    <x v="36"/>
    <m/>
    <m/>
    <m/>
    <m/>
    <m/>
    <m/>
    <n v="3"/>
    <n v="3"/>
    <n v="3"/>
    <m/>
    <n v="3"/>
    <m/>
    <n v="5"/>
    <n v="5"/>
    <n v="5"/>
    <m/>
    <m/>
    <m/>
    <n v="2"/>
    <m/>
    <n v="2"/>
    <m/>
    <n v="31"/>
  </r>
  <r>
    <x v="2"/>
    <x v="37"/>
    <m/>
    <m/>
    <m/>
    <m/>
    <m/>
    <m/>
    <m/>
    <m/>
    <m/>
    <m/>
    <m/>
    <m/>
    <m/>
    <m/>
    <m/>
    <m/>
    <m/>
    <m/>
    <m/>
    <m/>
    <m/>
    <m/>
    <n v="0"/>
  </r>
  <r>
    <x v="2"/>
    <x v="38"/>
    <m/>
    <m/>
    <m/>
    <m/>
    <m/>
    <m/>
    <m/>
    <m/>
    <m/>
    <m/>
    <m/>
    <m/>
    <m/>
    <m/>
    <m/>
    <m/>
    <m/>
    <m/>
    <m/>
    <m/>
    <m/>
    <m/>
    <n v="0"/>
  </r>
  <r>
    <x v="2"/>
    <x v="39"/>
    <m/>
    <m/>
    <m/>
    <m/>
    <m/>
    <m/>
    <m/>
    <m/>
    <m/>
    <m/>
    <m/>
    <m/>
    <m/>
    <m/>
    <m/>
    <m/>
    <m/>
    <m/>
    <m/>
    <m/>
    <m/>
    <m/>
    <n v="0"/>
  </r>
  <r>
    <x v="2"/>
    <x v="40"/>
    <m/>
    <m/>
    <m/>
    <m/>
    <m/>
    <m/>
    <m/>
    <m/>
    <m/>
    <m/>
    <m/>
    <m/>
    <m/>
    <m/>
    <m/>
    <m/>
    <m/>
    <m/>
    <m/>
    <m/>
    <m/>
    <m/>
    <n v="0"/>
  </r>
  <r>
    <x v="2"/>
    <x v="41"/>
    <m/>
    <m/>
    <m/>
    <m/>
    <m/>
    <m/>
    <m/>
    <m/>
    <m/>
    <m/>
    <m/>
    <m/>
    <m/>
    <m/>
    <m/>
    <m/>
    <m/>
    <m/>
    <m/>
    <m/>
    <m/>
    <m/>
    <n v="0"/>
  </r>
  <r>
    <x v="2"/>
    <x v="43"/>
    <m/>
    <m/>
    <m/>
    <m/>
    <m/>
    <m/>
    <m/>
    <m/>
    <m/>
    <m/>
    <m/>
    <m/>
    <m/>
    <m/>
    <m/>
    <m/>
    <m/>
    <m/>
    <m/>
    <n v="2"/>
    <m/>
    <m/>
    <n v="2"/>
  </r>
  <r>
    <x v="2"/>
    <x v="44"/>
    <m/>
    <m/>
    <m/>
    <m/>
    <m/>
    <m/>
    <m/>
    <m/>
    <m/>
    <m/>
    <m/>
    <m/>
    <m/>
    <m/>
    <m/>
    <m/>
    <m/>
    <m/>
    <m/>
    <m/>
    <m/>
    <m/>
    <n v="0"/>
  </r>
  <r>
    <x v="2"/>
    <x v="45"/>
    <m/>
    <m/>
    <m/>
    <m/>
    <m/>
    <m/>
    <m/>
    <m/>
    <m/>
    <m/>
    <m/>
    <m/>
    <m/>
    <m/>
    <m/>
    <m/>
    <m/>
    <m/>
    <m/>
    <m/>
    <m/>
    <m/>
    <n v="0"/>
  </r>
  <r>
    <x v="2"/>
    <x v="46"/>
    <m/>
    <m/>
    <m/>
    <m/>
    <m/>
    <m/>
    <m/>
    <m/>
    <m/>
    <m/>
    <m/>
    <m/>
    <m/>
    <m/>
    <m/>
    <m/>
    <m/>
    <m/>
    <m/>
    <m/>
    <m/>
    <m/>
    <n v="0"/>
  </r>
  <r>
    <x v="3"/>
    <x v="58"/>
    <m/>
    <m/>
    <m/>
    <m/>
    <m/>
    <m/>
    <m/>
    <m/>
    <m/>
    <m/>
    <m/>
    <m/>
    <m/>
    <m/>
    <m/>
    <m/>
    <m/>
    <m/>
    <m/>
    <m/>
    <m/>
    <m/>
    <n v="0"/>
  </r>
  <r>
    <x v="3"/>
    <x v="59"/>
    <m/>
    <m/>
    <m/>
    <m/>
    <m/>
    <m/>
    <n v="5"/>
    <m/>
    <m/>
    <m/>
    <m/>
    <m/>
    <m/>
    <m/>
    <m/>
    <m/>
    <m/>
    <m/>
    <m/>
    <m/>
    <n v="20"/>
    <m/>
    <n v="25"/>
  </r>
  <r>
    <x v="3"/>
    <x v="60"/>
    <m/>
    <m/>
    <m/>
    <m/>
    <m/>
    <m/>
    <m/>
    <m/>
    <m/>
    <m/>
    <m/>
    <m/>
    <m/>
    <m/>
    <m/>
    <m/>
    <m/>
    <m/>
    <m/>
    <m/>
    <m/>
    <m/>
    <n v="0"/>
  </r>
  <r>
    <x v="3"/>
    <x v="61"/>
    <m/>
    <m/>
    <n v="1"/>
    <m/>
    <m/>
    <m/>
    <n v="6"/>
    <m/>
    <m/>
    <m/>
    <m/>
    <m/>
    <m/>
    <m/>
    <m/>
    <m/>
    <m/>
    <m/>
    <m/>
    <m/>
    <n v="6"/>
    <m/>
    <n v="13"/>
  </r>
  <r>
    <x v="3"/>
    <x v="62"/>
    <m/>
    <m/>
    <m/>
    <m/>
    <m/>
    <m/>
    <m/>
    <m/>
    <m/>
    <m/>
    <m/>
    <m/>
    <m/>
    <m/>
    <m/>
    <m/>
    <m/>
    <m/>
    <m/>
    <m/>
    <n v="3"/>
    <m/>
    <n v="3"/>
  </r>
  <r>
    <x v="3"/>
    <x v="63"/>
    <m/>
    <m/>
    <m/>
    <m/>
    <m/>
    <m/>
    <m/>
    <m/>
    <m/>
    <m/>
    <m/>
    <m/>
    <m/>
    <m/>
    <m/>
    <m/>
    <m/>
    <m/>
    <m/>
    <m/>
    <m/>
    <m/>
    <n v="0"/>
  </r>
  <r>
    <x v="3"/>
    <x v="1"/>
    <m/>
    <m/>
    <m/>
    <m/>
    <m/>
    <m/>
    <m/>
    <m/>
    <m/>
    <m/>
    <m/>
    <m/>
    <m/>
    <m/>
    <m/>
    <m/>
    <m/>
    <m/>
    <m/>
    <m/>
    <m/>
    <m/>
    <n v="0"/>
  </r>
  <r>
    <x v="3"/>
    <x v="2"/>
    <m/>
    <m/>
    <n v="2"/>
    <m/>
    <m/>
    <m/>
    <n v="55"/>
    <n v="2"/>
    <m/>
    <n v="3"/>
    <m/>
    <m/>
    <m/>
    <m/>
    <m/>
    <m/>
    <m/>
    <m/>
    <n v="20"/>
    <n v="5"/>
    <n v="55"/>
    <m/>
    <n v="142"/>
  </r>
  <r>
    <x v="3"/>
    <x v="3"/>
    <m/>
    <m/>
    <m/>
    <m/>
    <m/>
    <m/>
    <m/>
    <m/>
    <m/>
    <m/>
    <m/>
    <m/>
    <m/>
    <m/>
    <m/>
    <m/>
    <m/>
    <m/>
    <m/>
    <m/>
    <m/>
    <m/>
    <n v="0"/>
  </r>
  <r>
    <x v="3"/>
    <x v="4"/>
    <m/>
    <m/>
    <m/>
    <m/>
    <m/>
    <m/>
    <m/>
    <m/>
    <m/>
    <m/>
    <m/>
    <m/>
    <m/>
    <m/>
    <m/>
    <m/>
    <m/>
    <m/>
    <m/>
    <m/>
    <m/>
    <m/>
    <n v="0"/>
  </r>
  <r>
    <x v="3"/>
    <x v="5"/>
    <m/>
    <m/>
    <m/>
    <m/>
    <m/>
    <m/>
    <m/>
    <m/>
    <m/>
    <m/>
    <m/>
    <m/>
    <m/>
    <m/>
    <m/>
    <m/>
    <m/>
    <m/>
    <m/>
    <m/>
    <m/>
    <m/>
    <n v="0"/>
  </r>
  <r>
    <x v="3"/>
    <x v="6"/>
    <m/>
    <m/>
    <m/>
    <m/>
    <m/>
    <m/>
    <n v="20"/>
    <n v="10"/>
    <m/>
    <m/>
    <m/>
    <m/>
    <m/>
    <m/>
    <m/>
    <m/>
    <m/>
    <m/>
    <n v="10"/>
    <m/>
    <n v="20"/>
    <m/>
    <n v="60"/>
  </r>
  <r>
    <x v="3"/>
    <x v="8"/>
    <m/>
    <m/>
    <m/>
    <m/>
    <m/>
    <m/>
    <m/>
    <m/>
    <m/>
    <m/>
    <m/>
    <m/>
    <m/>
    <m/>
    <m/>
    <m/>
    <m/>
    <m/>
    <m/>
    <m/>
    <m/>
    <m/>
    <n v="0"/>
  </r>
  <r>
    <x v="3"/>
    <x v="64"/>
    <m/>
    <m/>
    <m/>
    <m/>
    <m/>
    <m/>
    <m/>
    <m/>
    <m/>
    <m/>
    <m/>
    <m/>
    <m/>
    <m/>
    <m/>
    <m/>
    <m/>
    <m/>
    <m/>
    <m/>
    <m/>
    <m/>
    <n v="0"/>
  </r>
  <r>
    <x v="3"/>
    <x v="9"/>
    <m/>
    <m/>
    <m/>
    <m/>
    <m/>
    <m/>
    <n v="3"/>
    <m/>
    <n v="2"/>
    <m/>
    <m/>
    <m/>
    <m/>
    <m/>
    <m/>
    <m/>
    <m/>
    <m/>
    <m/>
    <m/>
    <n v="6"/>
    <m/>
    <n v="11"/>
  </r>
  <r>
    <x v="3"/>
    <x v="10"/>
    <m/>
    <m/>
    <m/>
    <m/>
    <m/>
    <m/>
    <m/>
    <m/>
    <m/>
    <m/>
    <m/>
    <m/>
    <m/>
    <m/>
    <m/>
    <m/>
    <m/>
    <m/>
    <m/>
    <m/>
    <m/>
    <m/>
    <n v="0"/>
  </r>
  <r>
    <x v="3"/>
    <x v="11"/>
    <m/>
    <m/>
    <m/>
    <m/>
    <m/>
    <m/>
    <m/>
    <m/>
    <n v="8"/>
    <m/>
    <m/>
    <m/>
    <m/>
    <m/>
    <m/>
    <m/>
    <m/>
    <m/>
    <m/>
    <m/>
    <n v="30"/>
    <m/>
    <n v="38"/>
  </r>
  <r>
    <x v="3"/>
    <x v="12"/>
    <m/>
    <m/>
    <m/>
    <m/>
    <m/>
    <m/>
    <m/>
    <m/>
    <m/>
    <m/>
    <m/>
    <m/>
    <m/>
    <m/>
    <m/>
    <m/>
    <m/>
    <m/>
    <m/>
    <m/>
    <m/>
    <m/>
    <n v="0"/>
  </r>
  <r>
    <x v="3"/>
    <x v="13"/>
    <m/>
    <m/>
    <m/>
    <m/>
    <m/>
    <m/>
    <m/>
    <m/>
    <m/>
    <m/>
    <m/>
    <m/>
    <m/>
    <m/>
    <m/>
    <m/>
    <m/>
    <m/>
    <m/>
    <m/>
    <m/>
    <m/>
    <n v="0"/>
  </r>
  <r>
    <x v="3"/>
    <x v="14"/>
    <m/>
    <m/>
    <m/>
    <m/>
    <m/>
    <m/>
    <m/>
    <m/>
    <m/>
    <m/>
    <m/>
    <m/>
    <m/>
    <m/>
    <m/>
    <m/>
    <m/>
    <m/>
    <m/>
    <m/>
    <n v="3"/>
    <m/>
    <n v="3"/>
  </r>
  <r>
    <x v="3"/>
    <x v="15"/>
    <m/>
    <m/>
    <m/>
    <m/>
    <m/>
    <m/>
    <m/>
    <m/>
    <m/>
    <m/>
    <m/>
    <m/>
    <m/>
    <m/>
    <m/>
    <m/>
    <m/>
    <m/>
    <m/>
    <m/>
    <m/>
    <m/>
    <n v="0"/>
  </r>
  <r>
    <x v="3"/>
    <x v="16"/>
    <m/>
    <m/>
    <m/>
    <m/>
    <m/>
    <m/>
    <m/>
    <m/>
    <m/>
    <m/>
    <m/>
    <m/>
    <m/>
    <m/>
    <m/>
    <m/>
    <m/>
    <m/>
    <m/>
    <m/>
    <m/>
    <m/>
    <n v="0"/>
  </r>
  <r>
    <x v="3"/>
    <x v="17"/>
    <m/>
    <m/>
    <m/>
    <m/>
    <m/>
    <m/>
    <m/>
    <m/>
    <m/>
    <m/>
    <m/>
    <m/>
    <m/>
    <m/>
    <m/>
    <m/>
    <m/>
    <m/>
    <m/>
    <m/>
    <m/>
    <m/>
    <n v="0"/>
  </r>
  <r>
    <x v="3"/>
    <x v="18"/>
    <m/>
    <m/>
    <m/>
    <m/>
    <m/>
    <m/>
    <m/>
    <m/>
    <m/>
    <m/>
    <m/>
    <m/>
    <m/>
    <m/>
    <m/>
    <m/>
    <m/>
    <m/>
    <m/>
    <m/>
    <m/>
    <m/>
    <n v="0"/>
  </r>
  <r>
    <x v="3"/>
    <x v="19"/>
    <m/>
    <m/>
    <m/>
    <m/>
    <m/>
    <m/>
    <n v="50"/>
    <m/>
    <m/>
    <m/>
    <m/>
    <m/>
    <m/>
    <m/>
    <m/>
    <m/>
    <m/>
    <m/>
    <n v="10"/>
    <m/>
    <n v="30"/>
    <m/>
    <n v="90"/>
  </r>
  <r>
    <x v="3"/>
    <x v="21"/>
    <m/>
    <m/>
    <m/>
    <m/>
    <m/>
    <m/>
    <m/>
    <m/>
    <m/>
    <m/>
    <m/>
    <m/>
    <m/>
    <m/>
    <m/>
    <m/>
    <m/>
    <m/>
    <m/>
    <m/>
    <m/>
    <m/>
    <n v="0"/>
  </r>
  <r>
    <x v="3"/>
    <x v="22"/>
    <m/>
    <m/>
    <m/>
    <m/>
    <m/>
    <m/>
    <m/>
    <m/>
    <m/>
    <m/>
    <m/>
    <m/>
    <m/>
    <m/>
    <m/>
    <m/>
    <m/>
    <m/>
    <m/>
    <m/>
    <m/>
    <m/>
    <n v="0"/>
  </r>
  <r>
    <x v="3"/>
    <x v="23"/>
    <m/>
    <m/>
    <m/>
    <m/>
    <m/>
    <m/>
    <m/>
    <m/>
    <m/>
    <m/>
    <m/>
    <m/>
    <m/>
    <m/>
    <m/>
    <m/>
    <m/>
    <m/>
    <m/>
    <m/>
    <m/>
    <m/>
    <n v="0"/>
  </r>
  <r>
    <x v="3"/>
    <x v="25"/>
    <m/>
    <m/>
    <m/>
    <m/>
    <m/>
    <m/>
    <m/>
    <m/>
    <m/>
    <m/>
    <m/>
    <m/>
    <m/>
    <m/>
    <m/>
    <m/>
    <m/>
    <m/>
    <m/>
    <m/>
    <m/>
    <m/>
    <n v="0"/>
  </r>
  <r>
    <x v="3"/>
    <x v="26"/>
    <m/>
    <m/>
    <m/>
    <m/>
    <m/>
    <m/>
    <m/>
    <m/>
    <m/>
    <m/>
    <m/>
    <m/>
    <m/>
    <m/>
    <m/>
    <m/>
    <m/>
    <m/>
    <m/>
    <m/>
    <n v="2"/>
    <m/>
    <n v="2"/>
  </r>
  <r>
    <x v="3"/>
    <x v="65"/>
    <m/>
    <m/>
    <m/>
    <m/>
    <m/>
    <m/>
    <n v="10"/>
    <m/>
    <n v="2"/>
    <m/>
    <m/>
    <m/>
    <n v="1"/>
    <m/>
    <m/>
    <m/>
    <m/>
    <m/>
    <n v="1"/>
    <m/>
    <n v="10"/>
    <m/>
    <n v="24"/>
  </r>
  <r>
    <x v="3"/>
    <x v="27"/>
    <m/>
    <m/>
    <m/>
    <m/>
    <m/>
    <m/>
    <m/>
    <m/>
    <m/>
    <m/>
    <m/>
    <m/>
    <m/>
    <m/>
    <m/>
    <m/>
    <m/>
    <m/>
    <m/>
    <m/>
    <n v="3"/>
    <m/>
    <n v="3"/>
  </r>
  <r>
    <x v="3"/>
    <x v="28"/>
    <m/>
    <m/>
    <m/>
    <m/>
    <m/>
    <m/>
    <m/>
    <m/>
    <m/>
    <m/>
    <m/>
    <m/>
    <m/>
    <m/>
    <m/>
    <m/>
    <m/>
    <m/>
    <m/>
    <m/>
    <m/>
    <m/>
    <n v="0"/>
  </r>
  <r>
    <x v="3"/>
    <x v="29"/>
    <m/>
    <m/>
    <m/>
    <m/>
    <m/>
    <m/>
    <m/>
    <m/>
    <m/>
    <m/>
    <m/>
    <m/>
    <m/>
    <m/>
    <m/>
    <m/>
    <m/>
    <m/>
    <m/>
    <m/>
    <m/>
    <m/>
    <n v="0"/>
  </r>
  <r>
    <x v="3"/>
    <x v="30"/>
    <m/>
    <m/>
    <m/>
    <m/>
    <m/>
    <m/>
    <n v="72"/>
    <n v="11"/>
    <n v="2"/>
    <m/>
    <m/>
    <m/>
    <n v="1"/>
    <n v="1"/>
    <m/>
    <m/>
    <m/>
    <m/>
    <n v="11"/>
    <n v="1"/>
    <n v="30"/>
    <m/>
    <n v="129"/>
  </r>
  <r>
    <x v="3"/>
    <x v="31"/>
    <m/>
    <m/>
    <m/>
    <m/>
    <m/>
    <m/>
    <m/>
    <m/>
    <m/>
    <m/>
    <m/>
    <m/>
    <m/>
    <m/>
    <m/>
    <m/>
    <m/>
    <m/>
    <m/>
    <m/>
    <m/>
    <m/>
    <n v="0"/>
  </r>
  <r>
    <x v="3"/>
    <x v="32"/>
    <m/>
    <m/>
    <m/>
    <m/>
    <m/>
    <m/>
    <m/>
    <m/>
    <m/>
    <m/>
    <m/>
    <n v="2"/>
    <n v="2"/>
    <m/>
    <m/>
    <n v="2"/>
    <m/>
    <m/>
    <m/>
    <m/>
    <m/>
    <m/>
    <n v="6"/>
  </r>
  <r>
    <x v="3"/>
    <x v="33"/>
    <m/>
    <m/>
    <m/>
    <m/>
    <m/>
    <m/>
    <n v="5"/>
    <m/>
    <n v="8"/>
    <m/>
    <m/>
    <m/>
    <n v="2"/>
    <m/>
    <m/>
    <m/>
    <m/>
    <m/>
    <m/>
    <m/>
    <m/>
    <m/>
    <n v="15"/>
  </r>
  <r>
    <x v="3"/>
    <x v="34"/>
    <m/>
    <m/>
    <m/>
    <m/>
    <m/>
    <m/>
    <m/>
    <m/>
    <m/>
    <m/>
    <m/>
    <m/>
    <m/>
    <m/>
    <m/>
    <m/>
    <m/>
    <m/>
    <m/>
    <m/>
    <n v="8"/>
    <m/>
    <n v="8"/>
  </r>
  <r>
    <x v="3"/>
    <x v="66"/>
    <m/>
    <m/>
    <m/>
    <m/>
    <m/>
    <m/>
    <m/>
    <m/>
    <m/>
    <m/>
    <m/>
    <m/>
    <m/>
    <m/>
    <m/>
    <m/>
    <m/>
    <m/>
    <m/>
    <m/>
    <m/>
    <m/>
    <n v="0"/>
  </r>
  <r>
    <x v="3"/>
    <x v="36"/>
    <n v="35"/>
    <n v="30"/>
    <n v="15"/>
    <n v="15"/>
    <n v="15"/>
    <n v="15"/>
    <n v="134"/>
    <n v="20"/>
    <n v="0"/>
    <n v="20"/>
    <n v="0"/>
    <n v="0"/>
    <n v="30"/>
    <n v="30"/>
    <n v="30"/>
    <n v="10"/>
    <n v="10"/>
    <n v="10"/>
    <n v="30"/>
    <n v="20"/>
    <n v="108"/>
    <n v="0"/>
    <n v="577"/>
  </r>
  <r>
    <x v="3"/>
    <x v="37"/>
    <m/>
    <m/>
    <m/>
    <m/>
    <m/>
    <m/>
    <n v="20"/>
    <n v="10"/>
    <m/>
    <m/>
    <m/>
    <m/>
    <m/>
    <m/>
    <m/>
    <m/>
    <m/>
    <n v="10"/>
    <m/>
    <m/>
    <n v="10"/>
    <m/>
    <n v="50"/>
  </r>
  <r>
    <x v="3"/>
    <x v="38"/>
    <m/>
    <m/>
    <m/>
    <m/>
    <m/>
    <m/>
    <m/>
    <m/>
    <m/>
    <m/>
    <m/>
    <m/>
    <m/>
    <m/>
    <m/>
    <m/>
    <m/>
    <m/>
    <m/>
    <m/>
    <n v="2"/>
    <m/>
    <n v="2"/>
  </r>
  <r>
    <x v="3"/>
    <x v="39"/>
    <m/>
    <m/>
    <m/>
    <m/>
    <m/>
    <m/>
    <m/>
    <m/>
    <m/>
    <m/>
    <m/>
    <m/>
    <m/>
    <m/>
    <m/>
    <m/>
    <m/>
    <m/>
    <m/>
    <m/>
    <m/>
    <m/>
    <n v="0"/>
  </r>
  <r>
    <x v="3"/>
    <x v="40"/>
    <m/>
    <m/>
    <m/>
    <m/>
    <m/>
    <m/>
    <m/>
    <m/>
    <m/>
    <m/>
    <m/>
    <m/>
    <m/>
    <m/>
    <m/>
    <m/>
    <m/>
    <m/>
    <m/>
    <m/>
    <m/>
    <m/>
    <n v="0"/>
  </r>
  <r>
    <x v="3"/>
    <x v="41"/>
    <m/>
    <m/>
    <m/>
    <m/>
    <m/>
    <m/>
    <m/>
    <m/>
    <m/>
    <m/>
    <m/>
    <m/>
    <m/>
    <m/>
    <m/>
    <m/>
    <m/>
    <m/>
    <m/>
    <m/>
    <m/>
    <m/>
    <n v="0"/>
  </r>
  <r>
    <x v="3"/>
    <x v="43"/>
    <m/>
    <m/>
    <m/>
    <m/>
    <m/>
    <m/>
    <m/>
    <m/>
    <m/>
    <m/>
    <m/>
    <m/>
    <m/>
    <m/>
    <m/>
    <m/>
    <m/>
    <m/>
    <m/>
    <m/>
    <m/>
    <m/>
    <n v="0"/>
  </r>
  <r>
    <x v="3"/>
    <x v="44"/>
    <m/>
    <m/>
    <m/>
    <m/>
    <m/>
    <m/>
    <m/>
    <m/>
    <m/>
    <m/>
    <m/>
    <m/>
    <m/>
    <m/>
    <m/>
    <m/>
    <m/>
    <m/>
    <m/>
    <m/>
    <m/>
    <m/>
    <n v="0"/>
  </r>
  <r>
    <x v="3"/>
    <x v="45"/>
    <m/>
    <m/>
    <m/>
    <m/>
    <m/>
    <m/>
    <n v="40"/>
    <m/>
    <m/>
    <m/>
    <m/>
    <m/>
    <m/>
    <m/>
    <m/>
    <m/>
    <m/>
    <m/>
    <n v="10"/>
    <m/>
    <n v="20"/>
    <m/>
    <n v="70"/>
  </r>
  <r>
    <x v="3"/>
    <x v="46"/>
    <m/>
    <m/>
    <m/>
    <m/>
    <m/>
    <m/>
    <n v="35"/>
    <n v="10"/>
    <m/>
    <m/>
    <m/>
    <m/>
    <m/>
    <m/>
    <m/>
    <m/>
    <m/>
    <m/>
    <m/>
    <m/>
    <n v="13"/>
    <m/>
    <n v="58"/>
  </r>
  <r>
    <x v="3"/>
    <x v="68"/>
    <m/>
    <m/>
    <m/>
    <m/>
    <m/>
    <m/>
    <n v="50"/>
    <m/>
    <m/>
    <m/>
    <m/>
    <m/>
    <m/>
    <m/>
    <m/>
    <m/>
    <m/>
    <m/>
    <m/>
    <m/>
    <n v="5"/>
    <m/>
    <n v="55"/>
  </r>
  <r>
    <x v="4"/>
    <x v="58"/>
    <n v="2"/>
    <n v="2"/>
    <n v="2"/>
    <n v="2"/>
    <n v="2"/>
    <n v="2"/>
    <n v="4"/>
    <m/>
    <n v="10"/>
    <m/>
    <m/>
    <m/>
    <m/>
    <n v="1"/>
    <n v="1"/>
    <n v="2"/>
    <n v="3"/>
    <m/>
    <m/>
    <n v="1"/>
    <m/>
    <m/>
    <n v="34"/>
  </r>
  <r>
    <x v="4"/>
    <x v="59"/>
    <n v="2"/>
    <n v="5"/>
    <n v="1"/>
    <n v="3"/>
    <n v="2"/>
    <n v="4"/>
    <n v="11"/>
    <m/>
    <n v="2"/>
    <m/>
    <m/>
    <m/>
    <n v="1"/>
    <n v="1"/>
    <n v="1"/>
    <n v="7"/>
    <n v="8"/>
    <m/>
    <m/>
    <n v="3"/>
    <m/>
    <m/>
    <n v="51"/>
  </r>
  <r>
    <x v="4"/>
    <x v="69"/>
    <m/>
    <m/>
    <m/>
    <m/>
    <m/>
    <m/>
    <n v="2"/>
    <m/>
    <n v="2"/>
    <m/>
    <m/>
    <m/>
    <n v="1"/>
    <m/>
    <m/>
    <m/>
    <m/>
    <m/>
    <m/>
    <m/>
    <m/>
    <m/>
    <n v="5"/>
  </r>
  <r>
    <x v="4"/>
    <x v="60"/>
    <m/>
    <m/>
    <m/>
    <m/>
    <m/>
    <m/>
    <n v="5"/>
    <n v="6"/>
    <m/>
    <m/>
    <m/>
    <m/>
    <n v="1"/>
    <n v="5"/>
    <n v="14"/>
    <n v="9"/>
    <n v="10"/>
    <n v="7"/>
    <n v="1"/>
    <n v="2"/>
    <n v="1"/>
    <m/>
    <n v="61"/>
  </r>
  <r>
    <x v="4"/>
    <x v="61"/>
    <n v="4"/>
    <n v="9"/>
    <m/>
    <m/>
    <n v="2"/>
    <n v="9"/>
    <n v="10"/>
    <n v="15"/>
    <m/>
    <m/>
    <m/>
    <m/>
    <n v="2"/>
    <n v="2"/>
    <n v="5"/>
    <m/>
    <m/>
    <m/>
    <n v="2"/>
    <m/>
    <n v="4"/>
    <m/>
    <n v="64"/>
  </r>
  <r>
    <x v="4"/>
    <x v="62"/>
    <m/>
    <m/>
    <m/>
    <m/>
    <m/>
    <m/>
    <n v="1"/>
    <m/>
    <n v="23"/>
    <m/>
    <m/>
    <m/>
    <n v="1"/>
    <m/>
    <m/>
    <n v="1"/>
    <n v="2"/>
    <n v="1"/>
    <m/>
    <n v="1"/>
    <m/>
    <m/>
    <n v="30"/>
  </r>
  <r>
    <x v="4"/>
    <x v="63"/>
    <m/>
    <m/>
    <m/>
    <m/>
    <m/>
    <m/>
    <n v="2"/>
    <m/>
    <m/>
    <m/>
    <m/>
    <m/>
    <n v="1"/>
    <n v="3"/>
    <n v="2"/>
    <m/>
    <m/>
    <m/>
    <m/>
    <m/>
    <m/>
    <m/>
    <n v="8"/>
  </r>
  <r>
    <x v="4"/>
    <x v="70"/>
    <n v="1"/>
    <n v="3"/>
    <n v="1"/>
    <n v="2"/>
    <n v="1"/>
    <n v="2"/>
    <n v="5"/>
    <m/>
    <n v="3"/>
    <m/>
    <m/>
    <m/>
    <n v="1"/>
    <n v="2"/>
    <n v="6"/>
    <m/>
    <m/>
    <m/>
    <m/>
    <m/>
    <m/>
    <m/>
    <n v="27"/>
  </r>
  <r>
    <x v="4"/>
    <x v="1"/>
    <n v="2"/>
    <n v="4"/>
    <m/>
    <m/>
    <m/>
    <m/>
    <n v="2"/>
    <n v="4"/>
    <m/>
    <m/>
    <m/>
    <m/>
    <n v="1"/>
    <n v="3"/>
    <n v="7"/>
    <n v="2"/>
    <n v="5"/>
    <m/>
    <m/>
    <n v="4"/>
    <n v="1"/>
    <m/>
    <n v="35"/>
  </r>
  <r>
    <x v="4"/>
    <x v="2"/>
    <n v="12"/>
    <n v="25"/>
    <n v="7"/>
    <n v="15"/>
    <n v="5"/>
    <n v="19"/>
    <n v="47"/>
    <m/>
    <n v="2"/>
    <n v="3"/>
    <m/>
    <m/>
    <n v="2"/>
    <m/>
    <m/>
    <m/>
    <m/>
    <m/>
    <m/>
    <m/>
    <n v="1"/>
    <m/>
    <n v="138"/>
  </r>
  <r>
    <x v="4"/>
    <x v="3"/>
    <m/>
    <m/>
    <m/>
    <m/>
    <m/>
    <m/>
    <n v="4"/>
    <n v="2"/>
    <m/>
    <m/>
    <m/>
    <m/>
    <n v="1"/>
    <n v="4"/>
    <n v="28"/>
    <n v="15"/>
    <n v="17"/>
    <n v="17"/>
    <m/>
    <n v="1"/>
    <n v="1"/>
    <m/>
    <n v="90"/>
  </r>
  <r>
    <x v="4"/>
    <x v="4"/>
    <n v="2"/>
    <n v="4"/>
    <n v="1"/>
    <n v="3"/>
    <m/>
    <m/>
    <n v="20"/>
    <n v="2"/>
    <n v="1"/>
    <m/>
    <m/>
    <m/>
    <n v="1"/>
    <m/>
    <m/>
    <n v="1"/>
    <n v="2"/>
    <m/>
    <m/>
    <n v="5"/>
    <n v="1"/>
    <m/>
    <n v="43"/>
  </r>
  <r>
    <x v="4"/>
    <x v="6"/>
    <m/>
    <m/>
    <m/>
    <m/>
    <m/>
    <m/>
    <n v="4"/>
    <n v="3"/>
    <m/>
    <m/>
    <m/>
    <m/>
    <n v="1"/>
    <n v="3"/>
    <n v="10"/>
    <m/>
    <m/>
    <m/>
    <n v="1"/>
    <m/>
    <n v="1"/>
    <m/>
    <n v="23"/>
  </r>
  <r>
    <x v="4"/>
    <x v="8"/>
    <n v="3"/>
    <n v="6"/>
    <n v="1"/>
    <n v="2"/>
    <n v="14"/>
    <n v="18"/>
    <n v="11"/>
    <m/>
    <n v="18"/>
    <m/>
    <m/>
    <m/>
    <n v="3"/>
    <n v="14"/>
    <n v="38"/>
    <n v="10"/>
    <n v="22"/>
    <m/>
    <m/>
    <n v="21"/>
    <n v="3"/>
    <m/>
    <n v="184"/>
  </r>
  <r>
    <x v="4"/>
    <x v="64"/>
    <n v="3"/>
    <n v="6"/>
    <m/>
    <m/>
    <m/>
    <m/>
    <n v="6"/>
    <n v="6"/>
    <m/>
    <m/>
    <m/>
    <m/>
    <m/>
    <n v="15"/>
    <n v="31"/>
    <m/>
    <m/>
    <m/>
    <n v="2"/>
    <n v="5"/>
    <n v="1"/>
    <m/>
    <n v="75"/>
  </r>
  <r>
    <x v="4"/>
    <x v="9"/>
    <n v="3"/>
    <n v="6"/>
    <n v="3"/>
    <n v="6"/>
    <m/>
    <m/>
    <n v="23"/>
    <n v="17"/>
    <n v="22"/>
    <m/>
    <m/>
    <m/>
    <n v="18"/>
    <m/>
    <m/>
    <m/>
    <m/>
    <m/>
    <n v="13"/>
    <m/>
    <n v="5"/>
    <m/>
    <n v="116"/>
  </r>
  <r>
    <x v="4"/>
    <x v="10"/>
    <m/>
    <m/>
    <m/>
    <m/>
    <m/>
    <m/>
    <m/>
    <m/>
    <m/>
    <n v="1"/>
    <m/>
    <m/>
    <m/>
    <n v="1"/>
    <n v="4"/>
    <n v="3"/>
    <n v="4"/>
    <n v="1"/>
    <m/>
    <m/>
    <m/>
    <m/>
    <n v="14"/>
  </r>
  <r>
    <x v="4"/>
    <x v="11"/>
    <n v="4"/>
    <n v="6"/>
    <n v="4"/>
    <n v="4"/>
    <m/>
    <m/>
    <n v="8"/>
    <n v="2"/>
    <n v="1"/>
    <m/>
    <m/>
    <m/>
    <n v="1"/>
    <n v="6"/>
    <n v="18"/>
    <m/>
    <m/>
    <m/>
    <m/>
    <m/>
    <m/>
    <m/>
    <n v="54"/>
  </r>
  <r>
    <x v="4"/>
    <x v="12"/>
    <m/>
    <m/>
    <m/>
    <m/>
    <m/>
    <m/>
    <n v="11"/>
    <m/>
    <m/>
    <m/>
    <m/>
    <m/>
    <n v="2"/>
    <n v="1"/>
    <n v="6"/>
    <n v="2"/>
    <n v="5"/>
    <m/>
    <m/>
    <n v="5"/>
    <m/>
    <n v="2"/>
    <n v="34"/>
  </r>
  <r>
    <x v="4"/>
    <x v="13"/>
    <m/>
    <m/>
    <m/>
    <m/>
    <m/>
    <m/>
    <m/>
    <m/>
    <m/>
    <m/>
    <m/>
    <m/>
    <m/>
    <m/>
    <m/>
    <m/>
    <m/>
    <m/>
    <m/>
    <m/>
    <m/>
    <m/>
    <n v="0"/>
  </r>
  <r>
    <x v="4"/>
    <x v="14"/>
    <m/>
    <m/>
    <m/>
    <m/>
    <m/>
    <m/>
    <n v="10"/>
    <n v="2"/>
    <m/>
    <m/>
    <m/>
    <m/>
    <n v="1"/>
    <n v="1"/>
    <n v="1"/>
    <n v="9"/>
    <n v="10"/>
    <n v="5"/>
    <m/>
    <m/>
    <n v="1"/>
    <m/>
    <n v="40"/>
  </r>
  <r>
    <x v="4"/>
    <x v="15"/>
    <m/>
    <m/>
    <m/>
    <m/>
    <m/>
    <m/>
    <m/>
    <m/>
    <m/>
    <m/>
    <m/>
    <m/>
    <m/>
    <m/>
    <m/>
    <m/>
    <m/>
    <m/>
    <m/>
    <m/>
    <m/>
    <m/>
    <n v="0"/>
  </r>
  <r>
    <x v="4"/>
    <x v="16"/>
    <m/>
    <m/>
    <m/>
    <m/>
    <m/>
    <m/>
    <m/>
    <m/>
    <m/>
    <m/>
    <m/>
    <m/>
    <m/>
    <m/>
    <m/>
    <m/>
    <m/>
    <m/>
    <m/>
    <m/>
    <m/>
    <m/>
    <n v="0"/>
  </r>
  <r>
    <x v="4"/>
    <x v="53"/>
    <m/>
    <m/>
    <m/>
    <m/>
    <m/>
    <m/>
    <n v="1"/>
    <m/>
    <m/>
    <m/>
    <m/>
    <m/>
    <n v="1"/>
    <n v="6"/>
    <n v="6"/>
    <n v="3"/>
    <n v="3"/>
    <m/>
    <m/>
    <m/>
    <m/>
    <m/>
    <n v="20"/>
  </r>
  <r>
    <x v="4"/>
    <x v="17"/>
    <m/>
    <m/>
    <m/>
    <m/>
    <m/>
    <m/>
    <n v="2"/>
    <n v="3"/>
    <n v="1"/>
    <m/>
    <m/>
    <n v="1"/>
    <n v="1"/>
    <m/>
    <m/>
    <m/>
    <m/>
    <m/>
    <m/>
    <m/>
    <n v="2"/>
    <m/>
    <n v="10"/>
  </r>
  <r>
    <x v="4"/>
    <x v="71"/>
    <n v="1"/>
    <n v="2"/>
    <m/>
    <m/>
    <m/>
    <m/>
    <n v="2"/>
    <m/>
    <m/>
    <m/>
    <m/>
    <m/>
    <n v="1"/>
    <n v="5"/>
    <n v="6"/>
    <n v="5"/>
    <n v="7"/>
    <m/>
    <m/>
    <m/>
    <m/>
    <m/>
    <n v="29"/>
  </r>
  <r>
    <x v="4"/>
    <x v="19"/>
    <m/>
    <m/>
    <m/>
    <m/>
    <m/>
    <m/>
    <n v="8"/>
    <n v="3"/>
    <n v="23"/>
    <m/>
    <m/>
    <m/>
    <m/>
    <n v="3"/>
    <n v="6"/>
    <m/>
    <m/>
    <m/>
    <m/>
    <m/>
    <n v="2"/>
    <m/>
    <n v="45"/>
  </r>
  <r>
    <x v="4"/>
    <x v="21"/>
    <m/>
    <m/>
    <m/>
    <m/>
    <m/>
    <m/>
    <n v="2"/>
    <m/>
    <m/>
    <m/>
    <m/>
    <m/>
    <m/>
    <m/>
    <m/>
    <n v="4"/>
    <n v="6"/>
    <m/>
    <m/>
    <m/>
    <m/>
    <m/>
    <n v="12"/>
  </r>
  <r>
    <x v="4"/>
    <x v="22"/>
    <m/>
    <m/>
    <m/>
    <m/>
    <m/>
    <m/>
    <n v="1"/>
    <m/>
    <m/>
    <m/>
    <m/>
    <m/>
    <m/>
    <m/>
    <m/>
    <n v="5"/>
    <n v="7"/>
    <m/>
    <m/>
    <m/>
    <m/>
    <m/>
    <n v="13"/>
  </r>
  <r>
    <x v="4"/>
    <x v="72"/>
    <n v="1"/>
    <n v="3"/>
    <m/>
    <m/>
    <m/>
    <m/>
    <n v="7"/>
    <m/>
    <m/>
    <m/>
    <m/>
    <m/>
    <m/>
    <m/>
    <m/>
    <m/>
    <m/>
    <m/>
    <m/>
    <m/>
    <m/>
    <m/>
    <n v="11"/>
  </r>
  <r>
    <x v="4"/>
    <x v="73"/>
    <m/>
    <m/>
    <m/>
    <m/>
    <m/>
    <m/>
    <m/>
    <n v="2"/>
    <n v="6"/>
    <m/>
    <m/>
    <m/>
    <n v="1"/>
    <m/>
    <m/>
    <m/>
    <m/>
    <m/>
    <m/>
    <m/>
    <m/>
    <m/>
    <n v="9"/>
  </r>
  <r>
    <x v="4"/>
    <x v="23"/>
    <n v="5"/>
    <n v="5"/>
    <n v="3"/>
    <n v="3"/>
    <n v="4"/>
    <n v="4"/>
    <n v="3"/>
    <n v="2"/>
    <n v="5"/>
    <m/>
    <m/>
    <m/>
    <n v="2"/>
    <n v="1"/>
    <n v="1"/>
    <n v="1"/>
    <n v="4"/>
    <m/>
    <n v="1"/>
    <m/>
    <n v="2"/>
    <m/>
    <n v="46"/>
  </r>
  <r>
    <x v="4"/>
    <x v="25"/>
    <n v="2"/>
    <n v="2"/>
    <n v="1"/>
    <n v="1"/>
    <m/>
    <m/>
    <n v="2"/>
    <n v="2"/>
    <n v="2"/>
    <m/>
    <m/>
    <m/>
    <n v="1"/>
    <m/>
    <m/>
    <m/>
    <m/>
    <m/>
    <n v="1"/>
    <m/>
    <n v="1"/>
    <m/>
    <n v="15"/>
  </r>
  <r>
    <x v="4"/>
    <x v="26"/>
    <m/>
    <m/>
    <m/>
    <m/>
    <n v="2"/>
    <n v="9"/>
    <n v="6"/>
    <m/>
    <n v="1"/>
    <m/>
    <m/>
    <m/>
    <n v="1"/>
    <m/>
    <m/>
    <n v="2"/>
    <n v="6"/>
    <m/>
    <n v="1"/>
    <n v="6"/>
    <n v="1"/>
    <m/>
    <n v="35"/>
  </r>
  <r>
    <x v="4"/>
    <x v="55"/>
    <m/>
    <m/>
    <m/>
    <m/>
    <m/>
    <m/>
    <n v="7"/>
    <n v="2"/>
    <n v="1"/>
    <m/>
    <m/>
    <m/>
    <n v="1"/>
    <n v="2"/>
    <n v="6"/>
    <n v="13"/>
    <n v="17"/>
    <m/>
    <m/>
    <m/>
    <n v="1"/>
    <m/>
    <n v="50"/>
  </r>
  <r>
    <x v="4"/>
    <x v="65"/>
    <n v="15"/>
    <n v="30"/>
    <n v="2"/>
    <n v="3"/>
    <n v="8"/>
    <n v="18"/>
    <n v="42"/>
    <n v="14"/>
    <n v="16"/>
    <n v="2"/>
    <n v="1"/>
    <m/>
    <n v="11"/>
    <n v="12"/>
    <n v="72"/>
    <n v="6"/>
    <n v="18"/>
    <m/>
    <n v="2"/>
    <n v="32"/>
    <n v="10"/>
    <m/>
    <n v="314"/>
  </r>
  <r>
    <x v="4"/>
    <x v="27"/>
    <n v="1"/>
    <n v="2"/>
    <n v="1"/>
    <n v="2"/>
    <n v="2"/>
    <n v="4"/>
    <n v="2"/>
    <m/>
    <n v="1"/>
    <m/>
    <m/>
    <m/>
    <m/>
    <n v="2"/>
    <n v="2"/>
    <m/>
    <m/>
    <m/>
    <m/>
    <m/>
    <m/>
    <m/>
    <n v="19"/>
  </r>
  <r>
    <x v="4"/>
    <x v="28"/>
    <n v="1"/>
    <n v="1"/>
    <n v="2"/>
    <n v="2"/>
    <m/>
    <m/>
    <n v="4"/>
    <n v="2"/>
    <m/>
    <m/>
    <m/>
    <m/>
    <n v="1"/>
    <n v="1"/>
    <n v="1"/>
    <n v="1"/>
    <n v="2"/>
    <n v="1"/>
    <m/>
    <m/>
    <n v="5"/>
    <m/>
    <n v="24"/>
  </r>
  <r>
    <x v="4"/>
    <x v="29"/>
    <n v="2"/>
    <m/>
    <n v="1"/>
    <n v="1"/>
    <m/>
    <m/>
    <m/>
    <n v="2"/>
    <n v="14"/>
    <m/>
    <m/>
    <n v="3"/>
    <n v="10"/>
    <n v="1"/>
    <n v="2"/>
    <n v="2"/>
    <n v="4"/>
    <m/>
    <m/>
    <n v="3"/>
    <m/>
    <n v="4"/>
    <n v="49"/>
  </r>
  <r>
    <x v="4"/>
    <x v="30"/>
    <n v="5"/>
    <n v="9"/>
    <n v="1"/>
    <n v="2"/>
    <n v="6"/>
    <n v="12"/>
    <n v="31"/>
    <n v="13"/>
    <n v="11"/>
    <m/>
    <m/>
    <n v="2"/>
    <n v="19"/>
    <n v="5"/>
    <n v="6"/>
    <n v="3"/>
    <n v="5"/>
    <n v="3"/>
    <n v="6"/>
    <m/>
    <n v="8"/>
    <m/>
    <n v="147"/>
  </r>
  <r>
    <x v="4"/>
    <x v="31"/>
    <n v="1"/>
    <n v="3"/>
    <n v="1"/>
    <n v="3"/>
    <n v="9"/>
    <n v="20"/>
    <n v="5"/>
    <n v="3"/>
    <m/>
    <m/>
    <m/>
    <m/>
    <n v="1"/>
    <n v="1"/>
    <n v="1"/>
    <n v="1"/>
    <n v="3"/>
    <m/>
    <m/>
    <m/>
    <n v="1"/>
    <m/>
    <n v="53"/>
  </r>
  <r>
    <x v="4"/>
    <x v="50"/>
    <n v="8"/>
    <n v="9"/>
    <n v="1"/>
    <n v="2"/>
    <n v="6"/>
    <n v="11"/>
    <n v="18"/>
    <n v="8"/>
    <n v="2"/>
    <m/>
    <m/>
    <m/>
    <n v="1"/>
    <n v="4"/>
    <n v="12"/>
    <n v="1"/>
    <n v="4"/>
    <m/>
    <m/>
    <m/>
    <n v="2"/>
    <m/>
    <n v="89"/>
  </r>
  <r>
    <x v="4"/>
    <x v="32"/>
    <m/>
    <m/>
    <m/>
    <m/>
    <m/>
    <m/>
    <n v="14"/>
    <m/>
    <n v="2"/>
    <m/>
    <m/>
    <m/>
    <n v="2"/>
    <n v="1"/>
    <n v="1"/>
    <m/>
    <m/>
    <m/>
    <m/>
    <m/>
    <m/>
    <m/>
    <n v="20"/>
  </r>
  <r>
    <x v="4"/>
    <x v="33"/>
    <n v="1"/>
    <n v="1"/>
    <m/>
    <m/>
    <m/>
    <m/>
    <n v="38"/>
    <n v="6"/>
    <n v="18"/>
    <m/>
    <m/>
    <m/>
    <n v="3"/>
    <n v="3"/>
    <n v="3"/>
    <n v="3"/>
    <n v="10"/>
    <n v="1"/>
    <n v="1"/>
    <n v="10"/>
    <n v="2"/>
    <n v="1"/>
    <n v="101"/>
  </r>
  <r>
    <x v="4"/>
    <x v="34"/>
    <n v="4"/>
    <n v="8"/>
    <m/>
    <m/>
    <m/>
    <m/>
    <n v="12"/>
    <n v="9"/>
    <n v="47"/>
    <n v="1"/>
    <m/>
    <m/>
    <n v="2"/>
    <n v="1"/>
    <n v="2"/>
    <n v="2"/>
    <n v="2"/>
    <m/>
    <n v="1"/>
    <m/>
    <m/>
    <m/>
    <n v="91"/>
  </r>
  <r>
    <x v="4"/>
    <x v="35"/>
    <n v="2"/>
    <n v="4"/>
    <n v="3"/>
    <n v="3"/>
    <n v="4"/>
    <n v="4"/>
    <n v="2"/>
    <n v="2"/>
    <n v="2"/>
    <m/>
    <m/>
    <m/>
    <n v="1"/>
    <n v="1"/>
    <n v="2"/>
    <m/>
    <m/>
    <m/>
    <n v="1"/>
    <m/>
    <n v="1"/>
    <m/>
    <n v="32"/>
  </r>
  <r>
    <x v="4"/>
    <x v="66"/>
    <n v="4"/>
    <n v="4"/>
    <m/>
    <m/>
    <n v="1"/>
    <n v="2"/>
    <n v="4"/>
    <n v="1"/>
    <m/>
    <m/>
    <m/>
    <m/>
    <m/>
    <m/>
    <m/>
    <m/>
    <m/>
    <m/>
    <m/>
    <m/>
    <m/>
    <m/>
    <n v="16"/>
  </r>
  <r>
    <x v="4"/>
    <x v="36"/>
    <n v="1"/>
    <n v="2"/>
    <n v="1"/>
    <n v="1"/>
    <n v="1"/>
    <n v="2"/>
    <n v="50"/>
    <n v="2"/>
    <n v="21"/>
    <m/>
    <m/>
    <m/>
    <n v="29"/>
    <n v="3"/>
    <n v="2"/>
    <m/>
    <m/>
    <m/>
    <m/>
    <n v="3"/>
    <n v="3"/>
    <m/>
    <n v="121"/>
  </r>
  <r>
    <x v="4"/>
    <x v="37"/>
    <n v="2"/>
    <n v="4"/>
    <n v="3"/>
    <n v="7"/>
    <n v="7"/>
    <n v="15"/>
    <n v="17"/>
    <m/>
    <m/>
    <m/>
    <m/>
    <m/>
    <n v="1"/>
    <m/>
    <m/>
    <m/>
    <m/>
    <m/>
    <m/>
    <m/>
    <m/>
    <m/>
    <n v="56"/>
  </r>
  <r>
    <x v="4"/>
    <x v="38"/>
    <m/>
    <m/>
    <m/>
    <m/>
    <m/>
    <m/>
    <n v="4"/>
    <n v="2"/>
    <n v="7"/>
    <m/>
    <m/>
    <m/>
    <n v="1"/>
    <n v="3"/>
    <n v="10"/>
    <m/>
    <m/>
    <m/>
    <m/>
    <m/>
    <m/>
    <m/>
    <n v="27"/>
  </r>
  <r>
    <x v="4"/>
    <x v="39"/>
    <n v="1"/>
    <n v="1"/>
    <n v="2"/>
    <n v="2"/>
    <m/>
    <m/>
    <n v="10"/>
    <n v="1"/>
    <m/>
    <m/>
    <m/>
    <m/>
    <m/>
    <n v="2"/>
    <n v="4"/>
    <n v="1"/>
    <n v="3"/>
    <n v="1"/>
    <m/>
    <m/>
    <m/>
    <m/>
    <n v="28"/>
  </r>
  <r>
    <x v="4"/>
    <x v="40"/>
    <n v="2"/>
    <n v="4"/>
    <n v="1"/>
    <n v="2"/>
    <n v="2"/>
    <n v="2"/>
    <n v="3"/>
    <n v="8"/>
    <n v="2"/>
    <m/>
    <m/>
    <m/>
    <n v="1"/>
    <n v="1"/>
    <n v="2"/>
    <n v="1"/>
    <n v="3"/>
    <n v="1"/>
    <n v="1"/>
    <n v="1"/>
    <n v="1"/>
    <m/>
    <n v="38"/>
  </r>
  <r>
    <x v="4"/>
    <x v="41"/>
    <n v="6"/>
    <n v="13"/>
    <n v="3"/>
    <n v="9"/>
    <n v="4"/>
    <n v="8"/>
    <n v="2"/>
    <m/>
    <n v="2"/>
    <m/>
    <m/>
    <m/>
    <n v="1"/>
    <m/>
    <m/>
    <m/>
    <m/>
    <m/>
    <n v="1"/>
    <m/>
    <n v="4"/>
    <m/>
    <n v="53"/>
  </r>
  <r>
    <x v="4"/>
    <x v="43"/>
    <n v="2"/>
    <n v="3"/>
    <n v="1"/>
    <n v="2"/>
    <m/>
    <m/>
    <n v="5"/>
    <n v="5"/>
    <n v="4"/>
    <m/>
    <m/>
    <m/>
    <m/>
    <n v="2"/>
    <n v="6"/>
    <m/>
    <m/>
    <m/>
    <m/>
    <n v="12"/>
    <n v="5"/>
    <m/>
    <n v="47"/>
  </r>
  <r>
    <x v="4"/>
    <x v="44"/>
    <m/>
    <m/>
    <m/>
    <m/>
    <m/>
    <m/>
    <n v="8"/>
    <n v="8"/>
    <n v="32"/>
    <m/>
    <m/>
    <m/>
    <n v="8"/>
    <n v="2"/>
    <n v="2"/>
    <n v="5"/>
    <n v="6"/>
    <n v="1"/>
    <n v="8"/>
    <n v="8"/>
    <n v="16"/>
    <n v="14"/>
    <n v="118"/>
  </r>
  <r>
    <x v="4"/>
    <x v="45"/>
    <m/>
    <m/>
    <m/>
    <m/>
    <m/>
    <m/>
    <n v="3"/>
    <n v="2"/>
    <m/>
    <m/>
    <m/>
    <m/>
    <m/>
    <n v="3"/>
    <n v="9"/>
    <n v="2"/>
    <n v="5"/>
    <m/>
    <n v="1"/>
    <m/>
    <m/>
    <m/>
    <n v="25"/>
  </r>
  <r>
    <x v="4"/>
    <x v="46"/>
    <n v="2"/>
    <n v="4"/>
    <n v="2"/>
    <n v="4"/>
    <m/>
    <m/>
    <n v="11"/>
    <m/>
    <n v="1"/>
    <m/>
    <m/>
    <m/>
    <n v="5"/>
    <n v="2"/>
    <n v="2"/>
    <m/>
    <m/>
    <m/>
    <m/>
    <m/>
    <n v="1"/>
    <m/>
    <n v="34"/>
  </r>
  <r>
    <x v="5"/>
    <x v="58"/>
    <m/>
    <m/>
    <m/>
    <m/>
    <m/>
    <m/>
    <m/>
    <m/>
    <m/>
    <m/>
    <m/>
    <m/>
    <m/>
    <m/>
    <m/>
    <m/>
    <m/>
    <m/>
    <m/>
    <m/>
    <m/>
    <m/>
    <n v="0"/>
  </r>
  <r>
    <x v="5"/>
    <x v="59"/>
    <m/>
    <m/>
    <m/>
    <m/>
    <m/>
    <m/>
    <m/>
    <m/>
    <m/>
    <m/>
    <m/>
    <m/>
    <m/>
    <m/>
    <m/>
    <m/>
    <m/>
    <m/>
    <m/>
    <m/>
    <m/>
    <m/>
    <n v="0"/>
  </r>
  <r>
    <x v="5"/>
    <x v="60"/>
    <m/>
    <m/>
    <m/>
    <m/>
    <m/>
    <m/>
    <m/>
    <m/>
    <m/>
    <m/>
    <m/>
    <m/>
    <m/>
    <m/>
    <m/>
    <m/>
    <m/>
    <m/>
    <m/>
    <m/>
    <m/>
    <m/>
    <n v="0"/>
  </r>
  <r>
    <x v="5"/>
    <x v="61"/>
    <m/>
    <m/>
    <m/>
    <m/>
    <m/>
    <m/>
    <m/>
    <m/>
    <m/>
    <m/>
    <m/>
    <m/>
    <m/>
    <m/>
    <m/>
    <m/>
    <m/>
    <m/>
    <m/>
    <m/>
    <m/>
    <m/>
    <n v="0"/>
  </r>
  <r>
    <x v="5"/>
    <x v="62"/>
    <m/>
    <m/>
    <m/>
    <m/>
    <m/>
    <m/>
    <m/>
    <m/>
    <m/>
    <m/>
    <m/>
    <m/>
    <m/>
    <m/>
    <m/>
    <m/>
    <m/>
    <m/>
    <m/>
    <m/>
    <m/>
    <m/>
    <n v="0"/>
  </r>
  <r>
    <x v="5"/>
    <x v="63"/>
    <m/>
    <m/>
    <m/>
    <m/>
    <m/>
    <m/>
    <m/>
    <m/>
    <m/>
    <m/>
    <m/>
    <m/>
    <m/>
    <m/>
    <m/>
    <m/>
    <m/>
    <m/>
    <m/>
    <m/>
    <m/>
    <m/>
    <n v="0"/>
  </r>
  <r>
    <x v="5"/>
    <x v="1"/>
    <m/>
    <m/>
    <m/>
    <m/>
    <m/>
    <n v="1"/>
    <n v="2"/>
    <n v="1"/>
    <n v="1"/>
    <m/>
    <m/>
    <m/>
    <n v="1"/>
    <m/>
    <m/>
    <m/>
    <m/>
    <m/>
    <n v="1"/>
    <m/>
    <n v="1"/>
    <m/>
    <n v="8"/>
  </r>
  <r>
    <x v="5"/>
    <x v="2"/>
    <m/>
    <m/>
    <m/>
    <m/>
    <m/>
    <m/>
    <m/>
    <m/>
    <m/>
    <m/>
    <m/>
    <m/>
    <m/>
    <m/>
    <m/>
    <m/>
    <m/>
    <m/>
    <m/>
    <m/>
    <m/>
    <m/>
    <n v="0"/>
  </r>
  <r>
    <x v="5"/>
    <x v="3"/>
    <m/>
    <m/>
    <m/>
    <m/>
    <m/>
    <m/>
    <m/>
    <m/>
    <m/>
    <m/>
    <m/>
    <m/>
    <m/>
    <m/>
    <m/>
    <m/>
    <m/>
    <m/>
    <m/>
    <m/>
    <m/>
    <m/>
    <n v="0"/>
  </r>
  <r>
    <x v="5"/>
    <x v="4"/>
    <m/>
    <m/>
    <m/>
    <m/>
    <m/>
    <m/>
    <m/>
    <m/>
    <m/>
    <m/>
    <m/>
    <m/>
    <m/>
    <m/>
    <m/>
    <m/>
    <m/>
    <m/>
    <m/>
    <m/>
    <m/>
    <m/>
    <n v="0"/>
  </r>
  <r>
    <x v="5"/>
    <x v="5"/>
    <m/>
    <m/>
    <m/>
    <m/>
    <m/>
    <m/>
    <m/>
    <m/>
    <m/>
    <m/>
    <m/>
    <m/>
    <m/>
    <m/>
    <m/>
    <m/>
    <m/>
    <m/>
    <m/>
    <m/>
    <m/>
    <m/>
    <n v="0"/>
  </r>
  <r>
    <x v="5"/>
    <x v="6"/>
    <m/>
    <m/>
    <m/>
    <m/>
    <m/>
    <m/>
    <m/>
    <m/>
    <m/>
    <m/>
    <m/>
    <m/>
    <m/>
    <m/>
    <m/>
    <m/>
    <m/>
    <m/>
    <m/>
    <m/>
    <m/>
    <m/>
    <n v="0"/>
  </r>
  <r>
    <x v="5"/>
    <x v="8"/>
    <m/>
    <m/>
    <m/>
    <m/>
    <m/>
    <m/>
    <m/>
    <m/>
    <m/>
    <m/>
    <m/>
    <m/>
    <m/>
    <m/>
    <m/>
    <m/>
    <m/>
    <m/>
    <m/>
    <m/>
    <m/>
    <m/>
    <n v="0"/>
  </r>
  <r>
    <x v="5"/>
    <x v="64"/>
    <m/>
    <m/>
    <m/>
    <m/>
    <m/>
    <m/>
    <m/>
    <m/>
    <m/>
    <m/>
    <m/>
    <m/>
    <m/>
    <m/>
    <m/>
    <m/>
    <m/>
    <m/>
    <m/>
    <m/>
    <m/>
    <m/>
    <n v="0"/>
  </r>
  <r>
    <x v="5"/>
    <x v="9"/>
    <m/>
    <m/>
    <m/>
    <m/>
    <m/>
    <m/>
    <m/>
    <m/>
    <m/>
    <m/>
    <m/>
    <m/>
    <m/>
    <m/>
    <m/>
    <m/>
    <m/>
    <m/>
    <m/>
    <m/>
    <m/>
    <m/>
    <n v="0"/>
  </r>
  <r>
    <x v="5"/>
    <x v="10"/>
    <m/>
    <m/>
    <m/>
    <m/>
    <m/>
    <m/>
    <m/>
    <m/>
    <m/>
    <m/>
    <m/>
    <m/>
    <m/>
    <m/>
    <m/>
    <m/>
    <m/>
    <m/>
    <m/>
    <m/>
    <m/>
    <m/>
    <n v="0"/>
  </r>
  <r>
    <x v="5"/>
    <x v="11"/>
    <m/>
    <m/>
    <m/>
    <m/>
    <m/>
    <m/>
    <m/>
    <m/>
    <m/>
    <m/>
    <m/>
    <m/>
    <m/>
    <m/>
    <m/>
    <m/>
    <m/>
    <m/>
    <m/>
    <m/>
    <m/>
    <m/>
    <n v="0"/>
  </r>
  <r>
    <x v="5"/>
    <x v="12"/>
    <m/>
    <m/>
    <m/>
    <m/>
    <m/>
    <m/>
    <m/>
    <m/>
    <m/>
    <m/>
    <m/>
    <m/>
    <m/>
    <m/>
    <m/>
    <m/>
    <m/>
    <m/>
    <m/>
    <m/>
    <m/>
    <m/>
    <n v="0"/>
  </r>
  <r>
    <x v="5"/>
    <x v="13"/>
    <m/>
    <m/>
    <m/>
    <m/>
    <m/>
    <m/>
    <m/>
    <m/>
    <m/>
    <m/>
    <m/>
    <m/>
    <m/>
    <m/>
    <m/>
    <m/>
    <m/>
    <m/>
    <m/>
    <m/>
    <m/>
    <m/>
    <n v="0"/>
  </r>
  <r>
    <x v="5"/>
    <x v="14"/>
    <m/>
    <m/>
    <m/>
    <m/>
    <m/>
    <m/>
    <n v="4"/>
    <n v="4"/>
    <n v="2"/>
    <m/>
    <m/>
    <m/>
    <n v="5"/>
    <m/>
    <m/>
    <m/>
    <m/>
    <m/>
    <n v="5"/>
    <m/>
    <n v="4"/>
    <m/>
    <n v="24"/>
  </r>
  <r>
    <x v="5"/>
    <x v="15"/>
    <m/>
    <m/>
    <m/>
    <m/>
    <m/>
    <m/>
    <m/>
    <m/>
    <m/>
    <m/>
    <m/>
    <m/>
    <m/>
    <m/>
    <m/>
    <m/>
    <m/>
    <m/>
    <m/>
    <m/>
    <m/>
    <m/>
    <n v="0"/>
  </r>
  <r>
    <x v="5"/>
    <x v="16"/>
    <m/>
    <m/>
    <m/>
    <m/>
    <m/>
    <m/>
    <m/>
    <m/>
    <m/>
    <m/>
    <m/>
    <m/>
    <m/>
    <m/>
    <m/>
    <m/>
    <m/>
    <m/>
    <m/>
    <m/>
    <m/>
    <m/>
    <n v="0"/>
  </r>
  <r>
    <x v="5"/>
    <x v="17"/>
    <m/>
    <m/>
    <m/>
    <m/>
    <m/>
    <m/>
    <m/>
    <m/>
    <m/>
    <m/>
    <m/>
    <m/>
    <m/>
    <m/>
    <m/>
    <m/>
    <m/>
    <m/>
    <m/>
    <m/>
    <m/>
    <m/>
    <n v="0"/>
  </r>
  <r>
    <x v="5"/>
    <x v="18"/>
    <m/>
    <m/>
    <m/>
    <m/>
    <m/>
    <m/>
    <m/>
    <m/>
    <m/>
    <m/>
    <m/>
    <m/>
    <m/>
    <m/>
    <m/>
    <m/>
    <m/>
    <m/>
    <m/>
    <m/>
    <m/>
    <m/>
    <n v="0"/>
  </r>
  <r>
    <x v="5"/>
    <x v="19"/>
    <m/>
    <m/>
    <m/>
    <m/>
    <m/>
    <m/>
    <m/>
    <m/>
    <m/>
    <m/>
    <m/>
    <m/>
    <m/>
    <m/>
    <m/>
    <m/>
    <m/>
    <m/>
    <m/>
    <m/>
    <m/>
    <m/>
    <n v="0"/>
  </r>
  <r>
    <x v="5"/>
    <x v="21"/>
    <m/>
    <m/>
    <m/>
    <m/>
    <m/>
    <m/>
    <m/>
    <m/>
    <m/>
    <m/>
    <m/>
    <m/>
    <m/>
    <m/>
    <m/>
    <m/>
    <m/>
    <m/>
    <m/>
    <m/>
    <m/>
    <m/>
    <n v="0"/>
  </r>
  <r>
    <x v="5"/>
    <x v="22"/>
    <m/>
    <m/>
    <m/>
    <m/>
    <m/>
    <m/>
    <m/>
    <m/>
    <m/>
    <m/>
    <m/>
    <m/>
    <m/>
    <m/>
    <m/>
    <m/>
    <m/>
    <m/>
    <m/>
    <m/>
    <m/>
    <m/>
    <n v="0"/>
  </r>
  <r>
    <x v="5"/>
    <x v="23"/>
    <m/>
    <m/>
    <m/>
    <m/>
    <m/>
    <m/>
    <m/>
    <m/>
    <m/>
    <m/>
    <m/>
    <m/>
    <m/>
    <m/>
    <m/>
    <m/>
    <m/>
    <m/>
    <m/>
    <m/>
    <m/>
    <m/>
    <n v="0"/>
  </r>
  <r>
    <x v="5"/>
    <x v="25"/>
    <m/>
    <m/>
    <m/>
    <m/>
    <m/>
    <m/>
    <m/>
    <m/>
    <m/>
    <m/>
    <m/>
    <m/>
    <m/>
    <m/>
    <m/>
    <m/>
    <m/>
    <m/>
    <m/>
    <m/>
    <m/>
    <m/>
    <n v="0"/>
  </r>
  <r>
    <x v="5"/>
    <x v="26"/>
    <m/>
    <m/>
    <m/>
    <m/>
    <m/>
    <m/>
    <m/>
    <m/>
    <m/>
    <m/>
    <m/>
    <m/>
    <m/>
    <m/>
    <m/>
    <m/>
    <m/>
    <m/>
    <m/>
    <m/>
    <m/>
    <m/>
    <n v="0"/>
  </r>
  <r>
    <x v="5"/>
    <x v="65"/>
    <n v="1"/>
    <n v="2"/>
    <m/>
    <m/>
    <m/>
    <m/>
    <n v="2"/>
    <n v="1"/>
    <m/>
    <m/>
    <m/>
    <m/>
    <n v="1"/>
    <m/>
    <m/>
    <m/>
    <m/>
    <m/>
    <n v="1"/>
    <m/>
    <n v="2"/>
    <m/>
    <n v="10"/>
  </r>
  <r>
    <x v="5"/>
    <x v="27"/>
    <m/>
    <m/>
    <m/>
    <m/>
    <m/>
    <m/>
    <m/>
    <m/>
    <m/>
    <m/>
    <m/>
    <m/>
    <m/>
    <m/>
    <m/>
    <m/>
    <m/>
    <m/>
    <m/>
    <m/>
    <m/>
    <m/>
    <n v="0"/>
  </r>
  <r>
    <x v="5"/>
    <x v="28"/>
    <m/>
    <m/>
    <m/>
    <m/>
    <m/>
    <m/>
    <m/>
    <m/>
    <m/>
    <m/>
    <m/>
    <m/>
    <m/>
    <m/>
    <m/>
    <m/>
    <m/>
    <m/>
    <m/>
    <m/>
    <m/>
    <m/>
    <n v="0"/>
  </r>
  <r>
    <x v="5"/>
    <x v="29"/>
    <n v="3"/>
    <n v="3"/>
    <m/>
    <m/>
    <m/>
    <m/>
    <n v="7"/>
    <n v="4"/>
    <n v="1"/>
    <m/>
    <m/>
    <m/>
    <n v="11"/>
    <m/>
    <m/>
    <m/>
    <m/>
    <m/>
    <n v="11"/>
    <m/>
    <m/>
    <n v="2"/>
    <n v="42"/>
  </r>
  <r>
    <x v="5"/>
    <x v="30"/>
    <m/>
    <m/>
    <m/>
    <m/>
    <m/>
    <m/>
    <m/>
    <m/>
    <m/>
    <m/>
    <m/>
    <m/>
    <m/>
    <m/>
    <m/>
    <m/>
    <m/>
    <m/>
    <m/>
    <m/>
    <m/>
    <m/>
    <n v="0"/>
  </r>
  <r>
    <x v="5"/>
    <x v="31"/>
    <m/>
    <m/>
    <m/>
    <m/>
    <m/>
    <m/>
    <m/>
    <m/>
    <m/>
    <m/>
    <m/>
    <m/>
    <m/>
    <m/>
    <m/>
    <m/>
    <m/>
    <m/>
    <m/>
    <m/>
    <m/>
    <m/>
    <n v="0"/>
  </r>
  <r>
    <x v="5"/>
    <x v="32"/>
    <m/>
    <m/>
    <m/>
    <m/>
    <m/>
    <m/>
    <m/>
    <m/>
    <m/>
    <m/>
    <m/>
    <m/>
    <m/>
    <m/>
    <m/>
    <m/>
    <m/>
    <m/>
    <m/>
    <m/>
    <m/>
    <m/>
    <n v="0"/>
  </r>
  <r>
    <x v="5"/>
    <x v="33"/>
    <m/>
    <m/>
    <m/>
    <m/>
    <m/>
    <m/>
    <n v="2"/>
    <m/>
    <m/>
    <m/>
    <m/>
    <m/>
    <m/>
    <m/>
    <m/>
    <m/>
    <m/>
    <m/>
    <m/>
    <m/>
    <n v="2"/>
    <m/>
    <n v="4"/>
  </r>
  <r>
    <x v="5"/>
    <x v="34"/>
    <m/>
    <m/>
    <m/>
    <m/>
    <m/>
    <m/>
    <m/>
    <m/>
    <m/>
    <m/>
    <m/>
    <m/>
    <m/>
    <m/>
    <m/>
    <m/>
    <m/>
    <m/>
    <m/>
    <m/>
    <m/>
    <m/>
    <n v="0"/>
  </r>
  <r>
    <x v="5"/>
    <x v="66"/>
    <m/>
    <m/>
    <m/>
    <m/>
    <m/>
    <m/>
    <m/>
    <m/>
    <m/>
    <m/>
    <m/>
    <m/>
    <m/>
    <m/>
    <m/>
    <m/>
    <m/>
    <m/>
    <m/>
    <m/>
    <m/>
    <m/>
    <n v="0"/>
  </r>
  <r>
    <x v="5"/>
    <x v="36"/>
    <m/>
    <m/>
    <m/>
    <m/>
    <m/>
    <m/>
    <m/>
    <m/>
    <m/>
    <m/>
    <m/>
    <m/>
    <m/>
    <m/>
    <m/>
    <m/>
    <m/>
    <m/>
    <m/>
    <m/>
    <m/>
    <m/>
    <n v="0"/>
  </r>
  <r>
    <x v="5"/>
    <x v="37"/>
    <m/>
    <m/>
    <m/>
    <m/>
    <m/>
    <m/>
    <m/>
    <m/>
    <m/>
    <m/>
    <m/>
    <m/>
    <m/>
    <m/>
    <m/>
    <m/>
    <m/>
    <m/>
    <m/>
    <m/>
    <m/>
    <m/>
    <n v="0"/>
  </r>
  <r>
    <x v="5"/>
    <x v="38"/>
    <m/>
    <m/>
    <m/>
    <m/>
    <m/>
    <m/>
    <m/>
    <m/>
    <m/>
    <m/>
    <m/>
    <m/>
    <m/>
    <m/>
    <m/>
    <m/>
    <m/>
    <m/>
    <m/>
    <m/>
    <m/>
    <m/>
    <n v="0"/>
  </r>
  <r>
    <x v="5"/>
    <x v="39"/>
    <m/>
    <m/>
    <m/>
    <m/>
    <m/>
    <m/>
    <m/>
    <m/>
    <m/>
    <m/>
    <m/>
    <m/>
    <m/>
    <m/>
    <m/>
    <m/>
    <m/>
    <m/>
    <m/>
    <m/>
    <m/>
    <m/>
    <n v="0"/>
  </r>
  <r>
    <x v="5"/>
    <x v="40"/>
    <m/>
    <m/>
    <m/>
    <m/>
    <m/>
    <m/>
    <m/>
    <m/>
    <m/>
    <m/>
    <m/>
    <m/>
    <m/>
    <m/>
    <m/>
    <m/>
    <m/>
    <m/>
    <m/>
    <m/>
    <m/>
    <m/>
    <n v="0"/>
  </r>
  <r>
    <x v="5"/>
    <x v="41"/>
    <m/>
    <m/>
    <m/>
    <m/>
    <m/>
    <m/>
    <m/>
    <m/>
    <m/>
    <m/>
    <m/>
    <m/>
    <m/>
    <m/>
    <m/>
    <m/>
    <m/>
    <m/>
    <m/>
    <m/>
    <m/>
    <m/>
    <n v="0"/>
  </r>
  <r>
    <x v="5"/>
    <x v="43"/>
    <m/>
    <m/>
    <m/>
    <m/>
    <m/>
    <m/>
    <n v="2"/>
    <m/>
    <m/>
    <m/>
    <m/>
    <m/>
    <n v="1"/>
    <m/>
    <m/>
    <m/>
    <m/>
    <m/>
    <n v="2"/>
    <m/>
    <n v="2"/>
    <m/>
    <n v="7"/>
  </r>
  <r>
    <x v="5"/>
    <x v="44"/>
    <m/>
    <m/>
    <m/>
    <m/>
    <m/>
    <m/>
    <m/>
    <m/>
    <m/>
    <m/>
    <m/>
    <m/>
    <m/>
    <m/>
    <m/>
    <m/>
    <m/>
    <m/>
    <m/>
    <m/>
    <m/>
    <m/>
    <n v="0"/>
  </r>
  <r>
    <x v="5"/>
    <x v="45"/>
    <m/>
    <m/>
    <m/>
    <m/>
    <m/>
    <m/>
    <m/>
    <m/>
    <m/>
    <m/>
    <m/>
    <m/>
    <m/>
    <m/>
    <m/>
    <m/>
    <m/>
    <m/>
    <m/>
    <m/>
    <m/>
    <m/>
    <n v="0"/>
  </r>
  <r>
    <x v="5"/>
    <x v="46"/>
    <m/>
    <m/>
    <m/>
    <m/>
    <m/>
    <m/>
    <n v="3"/>
    <m/>
    <m/>
    <m/>
    <m/>
    <m/>
    <m/>
    <m/>
    <m/>
    <m/>
    <m/>
    <m/>
    <m/>
    <m/>
    <n v="1"/>
    <m/>
    <n v="4"/>
  </r>
  <r>
    <x v="6"/>
    <x v="58"/>
    <m/>
    <m/>
    <m/>
    <m/>
    <m/>
    <m/>
    <m/>
    <m/>
    <m/>
    <m/>
    <m/>
    <m/>
    <m/>
    <m/>
    <m/>
    <m/>
    <m/>
    <m/>
    <m/>
    <m/>
    <m/>
    <m/>
    <n v="0"/>
  </r>
  <r>
    <x v="6"/>
    <x v="59"/>
    <m/>
    <m/>
    <m/>
    <m/>
    <m/>
    <m/>
    <m/>
    <m/>
    <m/>
    <m/>
    <m/>
    <m/>
    <m/>
    <m/>
    <m/>
    <m/>
    <m/>
    <m/>
    <m/>
    <m/>
    <m/>
    <m/>
    <n v="0"/>
  </r>
  <r>
    <x v="6"/>
    <x v="60"/>
    <m/>
    <m/>
    <m/>
    <m/>
    <m/>
    <m/>
    <n v="1"/>
    <m/>
    <n v="3"/>
    <m/>
    <m/>
    <m/>
    <n v="1"/>
    <n v="2"/>
    <m/>
    <n v="4"/>
    <m/>
    <n v="4"/>
    <n v="2"/>
    <n v="5"/>
    <n v="1"/>
    <m/>
    <n v="23"/>
  </r>
  <r>
    <x v="6"/>
    <x v="61"/>
    <m/>
    <m/>
    <m/>
    <m/>
    <m/>
    <m/>
    <m/>
    <n v="4"/>
    <m/>
    <m/>
    <m/>
    <m/>
    <n v="8"/>
    <m/>
    <m/>
    <m/>
    <m/>
    <m/>
    <n v="5"/>
    <m/>
    <n v="2"/>
    <m/>
    <n v="19"/>
  </r>
  <r>
    <x v="6"/>
    <x v="62"/>
    <m/>
    <m/>
    <m/>
    <m/>
    <m/>
    <m/>
    <m/>
    <m/>
    <m/>
    <m/>
    <m/>
    <m/>
    <m/>
    <m/>
    <m/>
    <m/>
    <m/>
    <m/>
    <m/>
    <m/>
    <m/>
    <m/>
    <n v="0"/>
  </r>
  <r>
    <x v="6"/>
    <x v="63"/>
    <m/>
    <m/>
    <m/>
    <m/>
    <m/>
    <m/>
    <m/>
    <m/>
    <m/>
    <m/>
    <m/>
    <m/>
    <m/>
    <m/>
    <m/>
    <m/>
    <m/>
    <m/>
    <m/>
    <m/>
    <m/>
    <m/>
    <n v="0"/>
  </r>
  <r>
    <x v="6"/>
    <x v="1"/>
    <m/>
    <m/>
    <m/>
    <m/>
    <m/>
    <m/>
    <m/>
    <m/>
    <m/>
    <m/>
    <m/>
    <m/>
    <m/>
    <m/>
    <m/>
    <m/>
    <m/>
    <m/>
    <m/>
    <m/>
    <m/>
    <m/>
    <n v="0"/>
  </r>
  <r>
    <x v="6"/>
    <x v="2"/>
    <m/>
    <m/>
    <m/>
    <m/>
    <m/>
    <m/>
    <m/>
    <m/>
    <m/>
    <m/>
    <m/>
    <m/>
    <m/>
    <m/>
    <m/>
    <m/>
    <m/>
    <m/>
    <m/>
    <m/>
    <m/>
    <m/>
    <n v="0"/>
  </r>
  <r>
    <x v="6"/>
    <x v="3"/>
    <m/>
    <m/>
    <m/>
    <m/>
    <m/>
    <m/>
    <m/>
    <m/>
    <m/>
    <m/>
    <m/>
    <m/>
    <m/>
    <m/>
    <m/>
    <m/>
    <m/>
    <m/>
    <m/>
    <m/>
    <m/>
    <m/>
    <n v="0"/>
  </r>
  <r>
    <x v="6"/>
    <x v="4"/>
    <m/>
    <m/>
    <m/>
    <m/>
    <m/>
    <m/>
    <m/>
    <m/>
    <m/>
    <m/>
    <m/>
    <m/>
    <m/>
    <m/>
    <m/>
    <m/>
    <m/>
    <m/>
    <m/>
    <m/>
    <m/>
    <m/>
    <n v="0"/>
  </r>
  <r>
    <x v="6"/>
    <x v="5"/>
    <m/>
    <m/>
    <m/>
    <m/>
    <m/>
    <m/>
    <m/>
    <m/>
    <m/>
    <m/>
    <m/>
    <m/>
    <m/>
    <m/>
    <m/>
    <m/>
    <m/>
    <m/>
    <m/>
    <m/>
    <m/>
    <m/>
    <n v="0"/>
  </r>
  <r>
    <x v="6"/>
    <x v="6"/>
    <m/>
    <m/>
    <m/>
    <m/>
    <m/>
    <m/>
    <m/>
    <m/>
    <m/>
    <m/>
    <m/>
    <m/>
    <m/>
    <m/>
    <m/>
    <m/>
    <m/>
    <m/>
    <m/>
    <m/>
    <m/>
    <m/>
    <n v="0"/>
  </r>
  <r>
    <x v="6"/>
    <x v="8"/>
    <m/>
    <m/>
    <m/>
    <m/>
    <m/>
    <m/>
    <m/>
    <m/>
    <m/>
    <m/>
    <m/>
    <m/>
    <m/>
    <m/>
    <m/>
    <m/>
    <m/>
    <m/>
    <m/>
    <m/>
    <m/>
    <m/>
    <n v="0"/>
  </r>
  <r>
    <x v="6"/>
    <x v="64"/>
    <m/>
    <m/>
    <m/>
    <m/>
    <m/>
    <m/>
    <m/>
    <m/>
    <m/>
    <m/>
    <m/>
    <m/>
    <m/>
    <m/>
    <m/>
    <m/>
    <m/>
    <m/>
    <m/>
    <m/>
    <m/>
    <m/>
    <n v="0"/>
  </r>
  <r>
    <x v="6"/>
    <x v="9"/>
    <m/>
    <m/>
    <m/>
    <m/>
    <m/>
    <m/>
    <m/>
    <m/>
    <m/>
    <m/>
    <m/>
    <m/>
    <m/>
    <m/>
    <m/>
    <m/>
    <m/>
    <m/>
    <m/>
    <m/>
    <m/>
    <m/>
    <n v="0"/>
  </r>
  <r>
    <x v="6"/>
    <x v="10"/>
    <m/>
    <m/>
    <m/>
    <m/>
    <m/>
    <m/>
    <m/>
    <m/>
    <m/>
    <m/>
    <m/>
    <m/>
    <m/>
    <m/>
    <m/>
    <m/>
    <m/>
    <m/>
    <m/>
    <m/>
    <m/>
    <m/>
    <n v="0"/>
  </r>
  <r>
    <x v="6"/>
    <x v="11"/>
    <m/>
    <m/>
    <m/>
    <m/>
    <m/>
    <m/>
    <n v="3"/>
    <n v="2"/>
    <n v="1"/>
    <m/>
    <m/>
    <m/>
    <n v="2"/>
    <m/>
    <m/>
    <m/>
    <m/>
    <m/>
    <m/>
    <m/>
    <m/>
    <m/>
    <n v="8"/>
  </r>
  <r>
    <x v="6"/>
    <x v="12"/>
    <m/>
    <m/>
    <m/>
    <m/>
    <n v="3"/>
    <n v="3"/>
    <n v="10"/>
    <n v="3"/>
    <m/>
    <m/>
    <m/>
    <m/>
    <n v="6"/>
    <m/>
    <m/>
    <m/>
    <m/>
    <m/>
    <n v="5"/>
    <m/>
    <n v="3"/>
    <m/>
    <n v="33"/>
  </r>
  <r>
    <x v="6"/>
    <x v="13"/>
    <m/>
    <m/>
    <m/>
    <m/>
    <m/>
    <m/>
    <m/>
    <m/>
    <m/>
    <m/>
    <m/>
    <m/>
    <m/>
    <m/>
    <m/>
    <m/>
    <m/>
    <m/>
    <m/>
    <m/>
    <m/>
    <m/>
    <n v="0"/>
  </r>
  <r>
    <x v="6"/>
    <x v="14"/>
    <m/>
    <m/>
    <m/>
    <m/>
    <m/>
    <m/>
    <n v="1"/>
    <n v="1"/>
    <m/>
    <m/>
    <m/>
    <m/>
    <m/>
    <m/>
    <m/>
    <m/>
    <m/>
    <m/>
    <m/>
    <m/>
    <m/>
    <m/>
    <n v="2"/>
  </r>
  <r>
    <x v="6"/>
    <x v="15"/>
    <m/>
    <m/>
    <m/>
    <m/>
    <m/>
    <m/>
    <m/>
    <m/>
    <m/>
    <m/>
    <m/>
    <m/>
    <m/>
    <m/>
    <m/>
    <m/>
    <m/>
    <m/>
    <m/>
    <m/>
    <m/>
    <m/>
    <n v="0"/>
  </r>
  <r>
    <x v="6"/>
    <x v="16"/>
    <m/>
    <m/>
    <m/>
    <m/>
    <m/>
    <m/>
    <n v="2"/>
    <n v="2"/>
    <n v="1"/>
    <m/>
    <m/>
    <m/>
    <n v="3"/>
    <m/>
    <m/>
    <m/>
    <m/>
    <m/>
    <n v="1"/>
    <m/>
    <n v="1"/>
    <n v="2"/>
    <n v="12"/>
  </r>
  <r>
    <x v="6"/>
    <x v="17"/>
    <m/>
    <m/>
    <m/>
    <m/>
    <m/>
    <m/>
    <m/>
    <m/>
    <m/>
    <m/>
    <m/>
    <m/>
    <m/>
    <m/>
    <m/>
    <m/>
    <m/>
    <m/>
    <m/>
    <m/>
    <m/>
    <m/>
    <n v="0"/>
  </r>
  <r>
    <x v="6"/>
    <x v="18"/>
    <m/>
    <m/>
    <m/>
    <m/>
    <m/>
    <m/>
    <m/>
    <m/>
    <m/>
    <m/>
    <m/>
    <m/>
    <m/>
    <m/>
    <m/>
    <m/>
    <m/>
    <m/>
    <m/>
    <m/>
    <m/>
    <m/>
    <n v="0"/>
  </r>
  <r>
    <x v="6"/>
    <x v="19"/>
    <m/>
    <m/>
    <m/>
    <m/>
    <m/>
    <m/>
    <m/>
    <m/>
    <m/>
    <m/>
    <m/>
    <m/>
    <m/>
    <m/>
    <m/>
    <m/>
    <m/>
    <m/>
    <m/>
    <m/>
    <m/>
    <m/>
    <n v="0"/>
  </r>
  <r>
    <x v="6"/>
    <x v="21"/>
    <n v="1"/>
    <n v="1"/>
    <m/>
    <m/>
    <m/>
    <m/>
    <n v="1"/>
    <n v="4"/>
    <m/>
    <m/>
    <m/>
    <m/>
    <n v="2"/>
    <m/>
    <m/>
    <m/>
    <m/>
    <m/>
    <n v="3"/>
    <m/>
    <n v="3"/>
    <n v="1"/>
    <n v="16"/>
  </r>
  <r>
    <x v="6"/>
    <x v="22"/>
    <m/>
    <m/>
    <m/>
    <m/>
    <m/>
    <m/>
    <m/>
    <m/>
    <m/>
    <m/>
    <m/>
    <m/>
    <m/>
    <m/>
    <m/>
    <m/>
    <m/>
    <m/>
    <m/>
    <m/>
    <m/>
    <m/>
    <n v="0"/>
  </r>
  <r>
    <x v="6"/>
    <x v="23"/>
    <m/>
    <m/>
    <m/>
    <m/>
    <m/>
    <m/>
    <n v="1"/>
    <m/>
    <m/>
    <m/>
    <m/>
    <m/>
    <n v="1"/>
    <n v="1"/>
    <n v="2"/>
    <n v="2"/>
    <m/>
    <n v="2"/>
    <m/>
    <m/>
    <m/>
    <m/>
    <n v="9"/>
  </r>
  <r>
    <x v="6"/>
    <x v="25"/>
    <m/>
    <m/>
    <m/>
    <m/>
    <m/>
    <m/>
    <m/>
    <m/>
    <m/>
    <m/>
    <m/>
    <m/>
    <m/>
    <m/>
    <m/>
    <m/>
    <m/>
    <m/>
    <m/>
    <m/>
    <m/>
    <m/>
    <n v="0"/>
  </r>
  <r>
    <x v="6"/>
    <x v="26"/>
    <m/>
    <m/>
    <m/>
    <m/>
    <m/>
    <m/>
    <m/>
    <m/>
    <m/>
    <m/>
    <m/>
    <m/>
    <m/>
    <m/>
    <m/>
    <m/>
    <m/>
    <m/>
    <m/>
    <m/>
    <m/>
    <m/>
    <n v="0"/>
  </r>
  <r>
    <x v="6"/>
    <x v="65"/>
    <m/>
    <m/>
    <m/>
    <m/>
    <m/>
    <m/>
    <n v="6"/>
    <n v="11"/>
    <n v="1"/>
    <m/>
    <n v="4"/>
    <n v="6"/>
    <n v="13"/>
    <n v="8"/>
    <n v="9"/>
    <n v="4"/>
    <n v="4"/>
    <n v="4"/>
    <n v="8"/>
    <n v="4"/>
    <n v="9"/>
    <n v="5"/>
    <n v="96"/>
  </r>
  <r>
    <x v="6"/>
    <x v="27"/>
    <m/>
    <m/>
    <m/>
    <m/>
    <m/>
    <m/>
    <m/>
    <m/>
    <m/>
    <m/>
    <m/>
    <m/>
    <m/>
    <m/>
    <m/>
    <m/>
    <m/>
    <m/>
    <m/>
    <m/>
    <m/>
    <m/>
    <n v="0"/>
  </r>
  <r>
    <x v="6"/>
    <x v="28"/>
    <m/>
    <m/>
    <m/>
    <m/>
    <m/>
    <m/>
    <m/>
    <m/>
    <m/>
    <m/>
    <m/>
    <m/>
    <m/>
    <m/>
    <m/>
    <m/>
    <m/>
    <m/>
    <m/>
    <m/>
    <m/>
    <m/>
    <n v="0"/>
  </r>
  <r>
    <x v="6"/>
    <x v="29"/>
    <m/>
    <m/>
    <m/>
    <m/>
    <m/>
    <m/>
    <m/>
    <m/>
    <m/>
    <m/>
    <m/>
    <m/>
    <m/>
    <m/>
    <m/>
    <m/>
    <m/>
    <m/>
    <m/>
    <m/>
    <m/>
    <m/>
    <n v="0"/>
  </r>
  <r>
    <x v="6"/>
    <x v="30"/>
    <n v="1"/>
    <n v="3"/>
    <n v="1"/>
    <n v="1"/>
    <n v="1"/>
    <n v="1"/>
    <n v="2"/>
    <n v="2"/>
    <m/>
    <m/>
    <m/>
    <m/>
    <n v="5"/>
    <n v="10"/>
    <n v="10"/>
    <n v="4"/>
    <m/>
    <n v="4"/>
    <m/>
    <n v="2"/>
    <m/>
    <n v="3"/>
    <n v="50"/>
  </r>
  <r>
    <x v="6"/>
    <x v="31"/>
    <m/>
    <m/>
    <m/>
    <m/>
    <m/>
    <m/>
    <m/>
    <m/>
    <m/>
    <m/>
    <m/>
    <m/>
    <m/>
    <m/>
    <m/>
    <m/>
    <m/>
    <m/>
    <m/>
    <m/>
    <m/>
    <m/>
    <n v="0"/>
  </r>
  <r>
    <x v="6"/>
    <x v="32"/>
    <m/>
    <m/>
    <m/>
    <m/>
    <m/>
    <m/>
    <m/>
    <m/>
    <m/>
    <m/>
    <m/>
    <m/>
    <m/>
    <m/>
    <m/>
    <m/>
    <m/>
    <m/>
    <m/>
    <m/>
    <m/>
    <m/>
    <n v="0"/>
  </r>
  <r>
    <x v="6"/>
    <x v="33"/>
    <m/>
    <m/>
    <m/>
    <m/>
    <m/>
    <m/>
    <n v="1"/>
    <m/>
    <n v="2"/>
    <m/>
    <m/>
    <m/>
    <n v="4"/>
    <m/>
    <m/>
    <m/>
    <m/>
    <m/>
    <n v="3"/>
    <m/>
    <n v="1"/>
    <m/>
    <n v="11"/>
  </r>
  <r>
    <x v="6"/>
    <x v="34"/>
    <m/>
    <m/>
    <m/>
    <m/>
    <m/>
    <m/>
    <n v="4"/>
    <n v="1"/>
    <m/>
    <m/>
    <n v="30"/>
    <m/>
    <m/>
    <n v="8"/>
    <n v="61"/>
    <n v="5"/>
    <n v="30"/>
    <n v="30"/>
    <m/>
    <n v="30"/>
    <m/>
    <m/>
    <n v="199"/>
  </r>
  <r>
    <x v="6"/>
    <x v="66"/>
    <m/>
    <m/>
    <m/>
    <m/>
    <m/>
    <m/>
    <m/>
    <m/>
    <m/>
    <m/>
    <m/>
    <m/>
    <m/>
    <m/>
    <m/>
    <m/>
    <m/>
    <m/>
    <m/>
    <m/>
    <m/>
    <m/>
    <n v="0"/>
  </r>
  <r>
    <x v="6"/>
    <x v="36"/>
    <m/>
    <m/>
    <m/>
    <m/>
    <m/>
    <m/>
    <n v="10"/>
    <n v="34"/>
    <m/>
    <m/>
    <n v="7"/>
    <n v="7"/>
    <n v="41"/>
    <n v="10"/>
    <n v="7"/>
    <n v="50"/>
    <n v="27"/>
    <n v="25"/>
    <n v="37"/>
    <n v="7"/>
    <n v="6"/>
    <m/>
    <n v="268"/>
  </r>
  <r>
    <x v="6"/>
    <x v="37"/>
    <n v="5"/>
    <n v="5"/>
    <m/>
    <m/>
    <n v="5"/>
    <n v="5"/>
    <m/>
    <n v="1"/>
    <n v="8"/>
    <m/>
    <m/>
    <m/>
    <n v="14"/>
    <m/>
    <m/>
    <m/>
    <m/>
    <m/>
    <n v="14"/>
    <m/>
    <m/>
    <m/>
    <n v="57"/>
  </r>
  <r>
    <x v="6"/>
    <x v="38"/>
    <m/>
    <m/>
    <m/>
    <m/>
    <m/>
    <m/>
    <m/>
    <m/>
    <m/>
    <m/>
    <m/>
    <m/>
    <m/>
    <m/>
    <m/>
    <m/>
    <m/>
    <m/>
    <m/>
    <m/>
    <m/>
    <m/>
    <n v="0"/>
  </r>
  <r>
    <x v="6"/>
    <x v="39"/>
    <m/>
    <m/>
    <m/>
    <m/>
    <m/>
    <m/>
    <m/>
    <m/>
    <m/>
    <m/>
    <m/>
    <m/>
    <m/>
    <m/>
    <m/>
    <m/>
    <m/>
    <m/>
    <m/>
    <m/>
    <m/>
    <m/>
    <n v="0"/>
  </r>
  <r>
    <x v="6"/>
    <x v="40"/>
    <m/>
    <m/>
    <m/>
    <m/>
    <m/>
    <m/>
    <m/>
    <m/>
    <m/>
    <m/>
    <m/>
    <m/>
    <m/>
    <m/>
    <m/>
    <m/>
    <m/>
    <m/>
    <m/>
    <m/>
    <m/>
    <m/>
    <n v="0"/>
  </r>
  <r>
    <x v="6"/>
    <x v="41"/>
    <m/>
    <m/>
    <m/>
    <m/>
    <m/>
    <m/>
    <m/>
    <m/>
    <m/>
    <m/>
    <m/>
    <m/>
    <m/>
    <m/>
    <m/>
    <m/>
    <m/>
    <m/>
    <m/>
    <m/>
    <m/>
    <m/>
    <n v="0"/>
  </r>
  <r>
    <x v="6"/>
    <x v="43"/>
    <m/>
    <m/>
    <m/>
    <m/>
    <m/>
    <m/>
    <m/>
    <m/>
    <m/>
    <m/>
    <m/>
    <m/>
    <m/>
    <m/>
    <m/>
    <m/>
    <m/>
    <m/>
    <m/>
    <m/>
    <m/>
    <m/>
    <n v="0"/>
  </r>
  <r>
    <x v="6"/>
    <x v="44"/>
    <m/>
    <m/>
    <m/>
    <m/>
    <m/>
    <m/>
    <n v="1"/>
    <m/>
    <m/>
    <m/>
    <m/>
    <m/>
    <n v="2"/>
    <m/>
    <m/>
    <n v="1"/>
    <m/>
    <n v="1"/>
    <m/>
    <n v="1"/>
    <n v="1"/>
    <n v="1"/>
    <n v="8"/>
  </r>
  <r>
    <x v="6"/>
    <x v="45"/>
    <m/>
    <m/>
    <m/>
    <m/>
    <m/>
    <m/>
    <m/>
    <m/>
    <m/>
    <m/>
    <m/>
    <m/>
    <m/>
    <m/>
    <m/>
    <m/>
    <m/>
    <m/>
    <m/>
    <m/>
    <m/>
    <m/>
    <n v="0"/>
  </r>
  <r>
    <x v="6"/>
    <x v="46"/>
    <n v="1"/>
    <n v="3"/>
    <m/>
    <n v="2"/>
    <n v="1"/>
    <n v="3"/>
    <m/>
    <n v="1"/>
    <m/>
    <m/>
    <m/>
    <m/>
    <n v="15"/>
    <n v="4"/>
    <n v="16"/>
    <m/>
    <m/>
    <m/>
    <n v="9"/>
    <n v="3"/>
    <n v="10"/>
    <n v="2"/>
    <n v="70"/>
  </r>
  <r>
    <x v="6"/>
    <x v="74"/>
    <m/>
    <m/>
    <m/>
    <m/>
    <m/>
    <m/>
    <m/>
    <n v="2"/>
    <m/>
    <m/>
    <m/>
    <m/>
    <n v="3"/>
    <m/>
    <m/>
    <m/>
    <m/>
    <m/>
    <n v="1"/>
    <m/>
    <n v="1"/>
    <m/>
    <n v="7"/>
  </r>
  <r>
    <x v="6"/>
    <x v="50"/>
    <m/>
    <n v="2"/>
    <m/>
    <n v="2"/>
    <m/>
    <n v="2"/>
    <m/>
    <m/>
    <n v="1"/>
    <m/>
    <m/>
    <m/>
    <m/>
    <n v="1"/>
    <n v="10"/>
    <m/>
    <m/>
    <m/>
    <m/>
    <m/>
    <m/>
    <m/>
    <n v="18"/>
  </r>
  <r>
    <x v="7"/>
    <x v="58"/>
    <m/>
    <m/>
    <m/>
    <m/>
    <m/>
    <m/>
    <n v="2"/>
    <m/>
    <m/>
    <m/>
    <m/>
    <m/>
    <m/>
    <m/>
    <m/>
    <m/>
    <m/>
    <m/>
    <m/>
    <m/>
    <m/>
    <m/>
    <n v="2"/>
  </r>
  <r>
    <x v="7"/>
    <x v="59"/>
    <m/>
    <m/>
    <m/>
    <m/>
    <m/>
    <m/>
    <n v="2"/>
    <m/>
    <m/>
    <m/>
    <m/>
    <m/>
    <m/>
    <n v="2"/>
    <n v="5"/>
    <m/>
    <m/>
    <m/>
    <m/>
    <m/>
    <m/>
    <m/>
    <n v="9"/>
  </r>
  <r>
    <x v="7"/>
    <x v="60"/>
    <m/>
    <m/>
    <m/>
    <m/>
    <m/>
    <m/>
    <n v="2"/>
    <m/>
    <m/>
    <m/>
    <m/>
    <m/>
    <m/>
    <m/>
    <m/>
    <m/>
    <m/>
    <m/>
    <m/>
    <m/>
    <m/>
    <m/>
    <n v="2"/>
  </r>
  <r>
    <x v="7"/>
    <x v="61"/>
    <m/>
    <m/>
    <m/>
    <m/>
    <m/>
    <m/>
    <n v="2"/>
    <m/>
    <m/>
    <m/>
    <m/>
    <m/>
    <m/>
    <n v="2"/>
    <n v="7"/>
    <m/>
    <m/>
    <m/>
    <m/>
    <m/>
    <n v="1"/>
    <n v="1"/>
    <n v="13"/>
  </r>
  <r>
    <x v="7"/>
    <x v="62"/>
    <m/>
    <m/>
    <m/>
    <m/>
    <m/>
    <m/>
    <m/>
    <m/>
    <m/>
    <m/>
    <m/>
    <m/>
    <m/>
    <m/>
    <m/>
    <m/>
    <m/>
    <m/>
    <m/>
    <m/>
    <m/>
    <m/>
    <n v="0"/>
  </r>
  <r>
    <x v="7"/>
    <x v="63"/>
    <m/>
    <m/>
    <m/>
    <m/>
    <m/>
    <m/>
    <m/>
    <m/>
    <m/>
    <m/>
    <m/>
    <m/>
    <m/>
    <m/>
    <m/>
    <m/>
    <m/>
    <m/>
    <m/>
    <m/>
    <m/>
    <m/>
    <n v="0"/>
  </r>
  <r>
    <x v="7"/>
    <x v="1"/>
    <m/>
    <m/>
    <m/>
    <m/>
    <m/>
    <m/>
    <m/>
    <m/>
    <m/>
    <m/>
    <m/>
    <m/>
    <m/>
    <m/>
    <m/>
    <m/>
    <m/>
    <m/>
    <m/>
    <m/>
    <m/>
    <m/>
    <n v="0"/>
  </r>
  <r>
    <x v="7"/>
    <x v="2"/>
    <m/>
    <m/>
    <m/>
    <m/>
    <m/>
    <m/>
    <n v="2"/>
    <m/>
    <m/>
    <m/>
    <m/>
    <m/>
    <m/>
    <n v="6"/>
    <m/>
    <m/>
    <m/>
    <m/>
    <m/>
    <m/>
    <m/>
    <m/>
    <n v="8"/>
  </r>
  <r>
    <x v="7"/>
    <x v="3"/>
    <m/>
    <m/>
    <m/>
    <m/>
    <m/>
    <m/>
    <n v="2"/>
    <m/>
    <m/>
    <m/>
    <m/>
    <m/>
    <m/>
    <n v="1"/>
    <n v="3"/>
    <n v="1"/>
    <m/>
    <m/>
    <m/>
    <n v="3"/>
    <m/>
    <m/>
    <n v="10"/>
  </r>
  <r>
    <x v="7"/>
    <x v="4"/>
    <m/>
    <m/>
    <m/>
    <m/>
    <m/>
    <m/>
    <m/>
    <m/>
    <m/>
    <m/>
    <m/>
    <m/>
    <m/>
    <m/>
    <m/>
    <m/>
    <m/>
    <m/>
    <m/>
    <m/>
    <m/>
    <m/>
    <n v="0"/>
  </r>
  <r>
    <x v="7"/>
    <x v="5"/>
    <m/>
    <m/>
    <m/>
    <m/>
    <m/>
    <m/>
    <m/>
    <m/>
    <m/>
    <m/>
    <m/>
    <m/>
    <m/>
    <n v="2"/>
    <n v="2"/>
    <m/>
    <m/>
    <m/>
    <m/>
    <m/>
    <m/>
    <m/>
    <n v="4"/>
  </r>
  <r>
    <x v="7"/>
    <x v="6"/>
    <m/>
    <m/>
    <m/>
    <m/>
    <m/>
    <m/>
    <n v="2"/>
    <m/>
    <m/>
    <m/>
    <m/>
    <m/>
    <m/>
    <n v="2"/>
    <n v="1"/>
    <m/>
    <m/>
    <m/>
    <m/>
    <m/>
    <m/>
    <m/>
    <n v="5"/>
  </r>
  <r>
    <x v="7"/>
    <x v="8"/>
    <m/>
    <m/>
    <m/>
    <m/>
    <m/>
    <m/>
    <n v="2"/>
    <m/>
    <m/>
    <m/>
    <m/>
    <m/>
    <m/>
    <m/>
    <m/>
    <m/>
    <m/>
    <m/>
    <m/>
    <m/>
    <m/>
    <m/>
    <n v="2"/>
  </r>
  <r>
    <x v="7"/>
    <x v="64"/>
    <m/>
    <m/>
    <m/>
    <m/>
    <m/>
    <m/>
    <n v="2"/>
    <m/>
    <m/>
    <m/>
    <m/>
    <m/>
    <m/>
    <m/>
    <m/>
    <m/>
    <m/>
    <m/>
    <m/>
    <m/>
    <m/>
    <m/>
    <n v="2"/>
  </r>
  <r>
    <x v="7"/>
    <x v="9"/>
    <m/>
    <m/>
    <m/>
    <m/>
    <m/>
    <m/>
    <n v="4"/>
    <m/>
    <m/>
    <m/>
    <m/>
    <m/>
    <m/>
    <m/>
    <m/>
    <m/>
    <m/>
    <m/>
    <m/>
    <m/>
    <m/>
    <m/>
    <n v="4"/>
  </r>
  <r>
    <x v="7"/>
    <x v="10"/>
    <m/>
    <m/>
    <m/>
    <m/>
    <m/>
    <m/>
    <n v="2"/>
    <m/>
    <m/>
    <m/>
    <m/>
    <m/>
    <m/>
    <n v="3"/>
    <m/>
    <n v="3"/>
    <m/>
    <m/>
    <m/>
    <m/>
    <m/>
    <m/>
    <n v="8"/>
  </r>
  <r>
    <x v="7"/>
    <x v="11"/>
    <m/>
    <m/>
    <m/>
    <m/>
    <m/>
    <m/>
    <n v="2"/>
    <m/>
    <m/>
    <m/>
    <m/>
    <m/>
    <m/>
    <m/>
    <n v="4"/>
    <m/>
    <m/>
    <m/>
    <m/>
    <m/>
    <m/>
    <m/>
    <n v="6"/>
  </r>
  <r>
    <x v="7"/>
    <x v="12"/>
    <m/>
    <m/>
    <m/>
    <m/>
    <m/>
    <m/>
    <m/>
    <m/>
    <m/>
    <m/>
    <m/>
    <m/>
    <m/>
    <m/>
    <m/>
    <m/>
    <m/>
    <m/>
    <m/>
    <m/>
    <m/>
    <m/>
    <n v="0"/>
  </r>
  <r>
    <x v="7"/>
    <x v="13"/>
    <m/>
    <m/>
    <m/>
    <m/>
    <m/>
    <m/>
    <m/>
    <m/>
    <m/>
    <m/>
    <m/>
    <m/>
    <m/>
    <m/>
    <m/>
    <m/>
    <m/>
    <m/>
    <m/>
    <m/>
    <m/>
    <m/>
    <n v="0"/>
  </r>
  <r>
    <x v="7"/>
    <x v="14"/>
    <m/>
    <m/>
    <m/>
    <m/>
    <m/>
    <m/>
    <n v="3"/>
    <m/>
    <m/>
    <m/>
    <m/>
    <m/>
    <m/>
    <n v="4"/>
    <n v="2"/>
    <m/>
    <m/>
    <m/>
    <m/>
    <m/>
    <m/>
    <m/>
    <n v="9"/>
  </r>
  <r>
    <x v="7"/>
    <x v="15"/>
    <m/>
    <m/>
    <m/>
    <m/>
    <m/>
    <m/>
    <m/>
    <m/>
    <m/>
    <m/>
    <m/>
    <m/>
    <m/>
    <n v="3"/>
    <n v="3"/>
    <m/>
    <m/>
    <m/>
    <m/>
    <m/>
    <m/>
    <m/>
    <n v="6"/>
  </r>
  <r>
    <x v="7"/>
    <x v="16"/>
    <m/>
    <m/>
    <m/>
    <m/>
    <m/>
    <m/>
    <m/>
    <m/>
    <m/>
    <m/>
    <m/>
    <m/>
    <m/>
    <m/>
    <m/>
    <m/>
    <m/>
    <m/>
    <m/>
    <m/>
    <m/>
    <m/>
    <n v="0"/>
  </r>
  <r>
    <x v="7"/>
    <x v="17"/>
    <m/>
    <m/>
    <m/>
    <m/>
    <m/>
    <m/>
    <m/>
    <m/>
    <m/>
    <m/>
    <m/>
    <m/>
    <m/>
    <m/>
    <n v="2"/>
    <m/>
    <m/>
    <m/>
    <m/>
    <m/>
    <m/>
    <m/>
    <n v="2"/>
  </r>
  <r>
    <x v="7"/>
    <x v="18"/>
    <m/>
    <m/>
    <m/>
    <m/>
    <m/>
    <m/>
    <n v="2"/>
    <m/>
    <m/>
    <m/>
    <m/>
    <m/>
    <m/>
    <m/>
    <n v="2"/>
    <m/>
    <m/>
    <m/>
    <m/>
    <m/>
    <m/>
    <m/>
    <n v="4"/>
  </r>
  <r>
    <x v="7"/>
    <x v="19"/>
    <m/>
    <m/>
    <m/>
    <m/>
    <m/>
    <m/>
    <n v="2"/>
    <m/>
    <m/>
    <m/>
    <m/>
    <m/>
    <m/>
    <n v="4"/>
    <m/>
    <m/>
    <m/>
    <m/>
    <m/>
    <m/>
    <m/>
    <m/>
    <n v="6"/>
  </r>
  <r>
    <x v="7"/>
    <x v="21"/>
    <m/>
    <m/>
    <m/>
    <m/>
    <m/>
    <m/>
    <n v="2"/>
    <m/>
    <m/>
    <m/>
    <m/>
    <m/>
    <m/>
    <m/>
    <n v="10"/>
    <m/>
    <m/>
    <m/>
    <m/>
    <m/>
    <m/>
    <m/>
    <n v="12"/>
  </r>
  <r>
    <x v="7"/>
    <x v="22"/>
    <m/>
    <m/>
    <m/>
    <m/>
    <m/>
    <m/>
    <n v="2"/>
    <m/>
    <m/>
    <m/>
    <m/>
    <m/>
    <m/>
    <m/>
    <m/>
    <m/>
    <m/>
    <m/>
    <m/>
    <m/>
    <m/>
    <m/>
    <n v="2"/>
  </r>
  <r>
    <x v="7"/>
    <x v="23"/>
    <m/>
    <m/>
    <m/>
    <m/>
    <m/>
    <m/>
    <n v="2"/>
    <m/>
    <m/>
    <m/>
    <m/>
    <m/>
    <m/>
    <n v="1"/>
    <n v="3"/>
    <m/>
    <m/>
    <m/>
    <m/>
    <m/>
    <m/>
    <m/>
    <n v="6"/>
  </r>
  <r>
    <x v="7"/>
    <x v="25"/>
    <m/>
    <m/>
    <m/>
    <m/>
    <m/>
    <m/>
    <n v="6"/>
    <m/>
    <m/>
    <m/>
    <m/>
    <m/>
    <n v="1"/>
    <n v="15"/>
    <n v="17"/>
    <m/>
    <m/>
    <m/>
    <m/>
    <m/>
    <m/>
    <m/>
    <n v="39"/>
  </r>
  <r>
    <x v="7"/>
    <x v="26"/>
    <m/>
    <m/>
    <m/>
    <m/>
    <m/>
    <m/>
    <n v="2"/>
    <m/>
    <m/>
    <m/>
    <m/>
    <m/>
    <m/>
    <m/>
    <m/>
    <m/>
    <m/>
    <m/>
    <m/>
    <m/>
    <m/>
    <m/>
    <n v="2"/>
  </r>
  <r>
    <x v="7"/>
    <x v="65"/>
    <m/>
    <n v="1"/>
    <m/>
    <n v="1"/>
    <m/>
    <m/>
    <n v="15"/>
    <m/>
    <n v="2"/>
    <m/>
    <m/>
    <m/>
    <n v="5"/>
    <n v="5"/>
    <n v="13"/>
    <m/>
    <m/>
    <m/>
    <m/>
    <m/>
    <n v="1"/>
    <m/>
    <n v="43"/>
  </r>
  <r>
    <x v="7"/>
    <x v="27"/>
    <m/>
    <m/>
    <m/>
    <m/>
    <m/>
    <m/>
    <m/>
    <m/>
    <m/>
    <m/>
    <m/>
    <m/>
    <m/>
    <m/>
    <m/>
    <m/>
    <m/>
    <m/>
    <m/>
    <m/>
    <m/>
    <m/>
    <n v="0"/>
  </r>
  <r>
    <x v="7"/>
    <x v="28"/>
    <m/>
    <m/>
    <m/>
    <m/>
    <m/>
    <m/>
    <m/>
    <m/>
    <m/>
    <m/>
    <m/>
    <m/>
    <m/>
    <n v="3"/>
    <m/>
    <n v="3"/>
    <m/>
    <m/>
    <m/>
    <m/>
    <m/>
    <m/>
    <n v="6"/>
  </r>
  <r>
    <x v="7"/>
    <x v="29"/>
    <m/>
    <m/>
    <m/>
    <m/>
    <m/>
    <m/>
    <n v="8"/>
    <m/>
    <m/>
    <m/>
    <m/>
    <m/>
    <n v="3"/>
    <m/>
    <m/>
    <m/>
    <m/>
    <m/>
    <m/>
    <m/>
    <m/>
    <m/>
    <n v="11"/>
  </r>
  <r>
    <x v="7"/>
    <x v="30"/>
    <m/>
    <m/>
    <m/>
    <m/>
    <n v="1"/>
    <m/>
    <n v="3"/>
    <n v="1"/>
    <m/>
    <m/>
    <m/>
    <m/>
    <n v="1"/>
    <n v="4"/>
    <n v="14"/>
    <n v="1"/>
    <m/>
    <n v="1"/>
    <n v="1"/>
    <m/>
    <n v="1"/>
    <m/>
    <n v="28"/>
  </r>
  <r>
    <x v="7"/>
    <x v="31"/>
    <m/>
    <m/>
    <m/>
    <m/>
    <m/>
    <m/>
    <n v="3"/>
    <m/>
    <m/>
    <m/>
    <m/>
    <m/>
    <m/>
    <m/>
    <n v="5"/>
    <m/>
    <m/>
    <m/>
    <m/>
    <m/>
    <m/>
    <m/>
    <n v="8"/>
  </r>
  <r>
    <x v="7"/>
    <x v="32"/>
    <m/>
    <m/>
    <m/>
    <m/>
    <m/>
    <m/>
    <m/>
    <m/>
    <m/>
    <m/>
    <m/>
    <m/>
    <m/>
    <m/>
    <m/>
    <m/>
    <m/>
    <m/>
    <m/>
    <m/>
    <m/>
    <m/>
    <n v="0"/>
  </r>
  <r>
    <x v="7"/>
    <x v="33"/>
    <m/>
    <m/>
    <m/>
    <m/>
    <m/>
    <m/>
    <n v="2"/>
    <m/>
    <m/>
    <m/>
    <m/>
    <m/>
    <m/>
    <n v="5"/>
    <m/>
    <m/>
    <m/>
    <m/>
    <m/>
    <m/>
    <m/>
    <m/>
    <n v="7"/>
  </r>
  <r>
    <x v="7"/>
    <x v="34"/>
    <m/>
    <m/>
    <m/>
    <m/>
    <m/>
    <m/>
    <m/>
    <m/>
    <m/>
    <m/>
    <m/>
    <m/>
    <m/>
    <m/>
    <m/>
    <m/>
    <m/>
    <m/>
    <m/>
    <m/>
    <m/>
    <m/>
    <n v="0"/>
  </r>
  <r>
    <x v="7"/>
    <x v="66"/>
    <m/>
    <m/>
    <m/>
    <m/>
    <m/>
    <m/>
    <m/>
    <m/>
    <m/>
    <m/>
    <m/>
    <m/>
    <m/>
    <m/>
    <m/>
    <m/>
    <m/>
    <m/>
    <m/>
    <m/>
    <m/>
    <m/>
    <n v="0"/>
  </r>
  <r>
    <x v="7"/>
    <x v="36"/>
    <m/>
    <m/>
    <m/>
    <m/>
    <m/>
    <m/>
    <n v="10"/>
    <m/>
    <m/>
    <m/>
    <m/>
    <m/>
    <m/>
    <n v="25"/>
    <m/>
    <m/>
    <m/>
    <m/>
    <m/>
    <m/>
    <n v="2"/>
    <m/>
    <n v="37"/>
  </r>
  <r>
    <x v="7"/>
    <x v="37"/>
    <m/>
    <m/>
    <m/>
    <m/>
    <m/>
    <m/>
    <m/>
    <m/>
    <m/>
    <m/>
    <m/>
    <m/>
    <m/>
    <n v="13"/>
    <n v="2"/>
    <m/>
    <m/>
    <m/>
    <m/>
    <m/>
    <m/>
    <m/>
    <n v="15"/>
  </r>
  <r>
    <x v="7"/>
    <x v="38"/>
    <m/>
    <m/>
    <m/>
    <m/>
    <m/>
    <m/>
    <m/>
    <m/>
    <m/>
    <m/>
    <m/>
    <m/>
    <m/>
    <m/>
    <m/>
    <m/>
    <m/>
    <m/>
    <m/>
    <m/>
    <m/>
    <m/>
    <n v="0"/>
  </r>
  <r>
    <x v="7"/>
    <x v="39"/>
    <m/>
    <m/>
    <m/>
    <m/>
    <m/>
    <m/>
    <n v="2"/>
    <m/>
    <m/>
    <m/>
    <m/>
    <m/>
    <m/>
    <n v="2"/>
    <n v="9"/>
    <m/>
    <m/>
    <m/>
    <m/>
    <m/>
    <m/>
    <m/>
    <n v="13"/>
  </r>
  <r>
    <x v="7"/>
    <x v="40"/>
    <m/>
    <m/>
    <m/>
    <m/>
    <m/>
    <m/>
    <m/>
    <m/>
    <m/>
    <m/>
    <m/>
    <m/>
    <m/>
    <m/>
    <n v="2"/>
    <m/>
    <m/>
    <m/>
    <m/>
    <m/>
    <m/>
    <m/>
    <n v="2"/>
  </r>
  <r>
    <x v="7"/>
    <x v="41"/>
    <m/>
    <m/>
    <m/>
    <m/>
    <m/>
    <m/>
    <m/>
    <m/>
    <m/>
    <m/>
    <m/>
    <m/>
    <m/>
    <n v="2"/>
    <n v="2"/>
    <m/>
    <m/>
    <m/>
    <m/>
    <m/>
    <m/>
    <m/>
    <n v="4"/>
  </r>
  <r>
    <x v="7"/>
    <x v="43"/>
    <m/>
    <m/>
    <m/>
    <m/>
    <m/>
    <m/>
    <n v="1"/>
    <m/>
    <m/>
    <m/>
    <m/>
    <m/>
    <n v="1"/>
    <n v="2"/>
    <n v="9"/>
    <m/>
    <m/>
    <m/>
    <m/>
    <m/>
    <m/>
    <m/>
    <n v="13"/>
  </r>
  <r>
    <x v="7"/>
    <x v="44"/>
    <m/>
    <m/>
    <m/>
    <m/>
    <m/>
    <m/>
    <n v="5"/>
    <m/>
    <m/>
    <m/>
    <m/>
    <m/>
    <m/>
    <n v="2"/>
    <n v="9"/>
    <m/>
    <m/>
    <m/>
    <m/>
    <m/>
    <m/>
    <m/>
    <n v="16"/>
  </r>
  <r>
    <x v="7"/>
    <x v="45"/>
    <m/>
    <m/>
    <m/>
    <m/>
    <m/>
    <m/>
    <n v="2"/>
    <m/>
    <m/>
    <m/>
    <m/>
    <m/>
    <m/>
    <n v="2"/>
    <n v="2"/>
    <m/>
    <m/>
    <m/>
    <m/>
    <m/>
    <m/>
    <m/>
    <n v="6"/>
  </r>
  <r>
    <x v="7"/>
    <x v="46"/>
    <m/>
    <n v="1"/>
    <m/>
    <m/>
    <m/>
    <n v="1"/>
    <n v="4"/>
    <m/>
    <m/>
    <m/>
    <m/>
    <m/>
    <n v="3"/>
    <n v="8"/>
    <n v="6"/>
    <m/>
    <m/>
    <m/>
    <m/>
    <n v="2"/>
    <m/>
    <m/>
    <n v="25"/>
  </r>
  <r>
    <x v="7"/>
    <x v="35"/>
    <m/>
    <m/>
    <m/>
    <m/>
    <m/>
    <m/>
    <m/>
    <m/>
    <m/>
    <m/>
    <m/>
    <m/>
    <m/>
    <n v="3"/>
    <n v="6"/>
    <m/>
    <m/>
    <m/>
    <m/>
    <m/>
    <m/>
    <m/>
    <n v="9"/>
  </r>
  <r>
    <x v="7"/>
    <x v="75"/>
    <m/>
    <m/>
    <m/>
    <m/>
    <m/>
    <m/>
    <m/>
    <m/>
    <m/>
    <m/>
    <m/>
    <m/>
    <m/>
    <n v="18"/>
    <m/>
    <n v="18"/>
    <m/>
    <m/>
    <m/>
    <m/>
    <m/>
    <m/>
    <n v="36"/>
  </r>
  <r>
    <x v="7"/>
    <x v="57"/>
    <m/>
    <m/>
    <m/>
    <m/>
    <m/>
    <m/>
    <m/>
    <m/>
    <m/>
    <m/>
    <m/>
    <m/>
    <m/>
    <m/>
    <n v="5"/>
    <m/>
    <m/>
    <m/>
    <m/>
    <m/>
    <m/>
    <m/>
    <n v="5"/>
  </r>
  <r>
    <x v="7"/>
    <x v="53"/>
    <m/>
    <m/>
    <m/>
    <m/>
    <m/>
    <m/>
    <m/>
    <m/>
    <m/>
    <m/>
    <m/>
    <m/>
    <m/>
    <m/>
    <n v="3"/>
    <m/>
    <m/>
    <m/>
    <m/>
    <m/>
    <m/>
    <m/>
    <n v="3"/>
  </r>
  <r>
    <x v="7"/>
    <x v="55"/>
    <m/>
    <m/>
    <m/>
    <m/>
    <m/>
    <m/>
    <m/>
    <m/>
    <m/>
    <m/>
    <m/>
    <m/>
    <m/>
    <n v="1"/>
    <n v="3"/>
    <m/>
    <m/>
    <m/>
    <m/>
    <m/>
    <m/>
    <m/>
    <n v="4"/>
  </r>
  <r>
    <x v="7"/>
    <x v="51"/>
    <m/>
    <m/>
    <m/>
    <m/>
    <m/>
    <m/>
    <m/>
    <m/>
    <m/>
    <m/>
    <m/>
    <m/>
    <m/>
    <n v="1"/>
    <n v="2"/>
    <m/>
    <m/>
    <m/>
    <m/>
    <m/>
    <m/>
    <m/>
    <n v="3"/>
  </r>
  <r>
    <x v="7"/>
    <x v="76"/>
    <m/>
    <m/>
    <m/>
    <m/>
    <m/>
    <m/>
    <m/>
    <m/>
    <m/>
    <m/>
    <m/>
    <m/>
    <m/>
    <n v="2"/>
    <n v="5"/>
    <m/>
    <m/>
    <m/>
    <m/>
    <m/>
    <m/>
    <m/>
    <n v="7"/>
  </r>
  <r>
    <x v="7"/>
    <x v="52"/>
    <m/>
    <m/>
    <m/>
    <m/>
    <m/>
    <m/>
    <m/>
    <m/>
    <m/>
    <m/>
    <m/>
    <m/>
    <m/>
    <n v="1"/>
    <n v="3"/>
    <m/>
    <m/>
    <m/>
    <m/>
    <m/>
    <m/>
    <m/>
    <n v="4"/>
  </r>
  <r>
    <x v="7"/>
    <x v="77"/>
    <m/>
    <m/>
    <m/>
    <m/>
    <m/>
    <m/>
    <m/>
    <m/>
    <m/>
    <m/>
    <m/>
    <m/>
    <m/>
    <n v="2"/>
    <m/>
    <m/>
    <m/>
    <m/>
    <m/>
    <m/>
    <m/>
    <m/>
    <n v="2"/>
  </r>
  <r>
    <x v="7"/>
    <x v="7"/>
    <m/>
    <m/>
    <m/>
    <m/>
    <m/>
    <m/>
    <m/>
    <m/>
    <m/>
    <m/>
    <m/>
    <m/>
    <m/>
    <n v="3"/>
    <m/>
    <m/>
    <m/>
    <m/>
    <m/>
    <m/>
    <m/>
    <m/>
    <n v="3"/>
  </r>
  <r>
    <x v="7"/>
    <x v="49"/>
    <m/>
    <m/>
    <m/>
    <m/>
    <m/>
    <m/>
    <m/>
    <m/>
    <m/>
    <m/>
    <m/>
    <m/>
    <m/>
    <n v="6"/>
    <m/>
    <m/>
    <m/>
    <m/>
    <m/>
    <m/>
    <m/>
    <m/>
    <n v="6"/>
  </r>
  <r>
    <x v="8"/>
    <x v="58"/>
    <m/>
    <m/>
    <m/>
    <m/>
    <m/>
    <m/>
    <m/>
    <m/>
    <m/>
    <m/>
    <m/>
    <m/>
    <m/>
    <m/>
    <m/>
    <m/>
    <m/>
    <m/>
    <m/>
    <m/>
    <n v="1"/>
    <m/>
    <n v="1"/>
  </r>
  <r>
    <x v="8"/>
    <x v="59"/>
    <m/>
    <m/>
    <m/>
    <m/>
    <m/>
    <m/>
    <n v="1"/>
    <m/>
    <m/>
    <m/>
    <m/>
    <m/>
    <m/>
    <m/>
    <m/>
    <m/>
    <m/>
    <m/>
    <n v="1"/>
    <m/>
    <m/>
    <m/>
    <n v="2"/>
  </r>
  <r>
    <x v="8"/>
    <x v="60"/>
    <m/>
    <m/>
    <m/>
    <m/>
    <m/>
    <m/>
    <n v="2"/>
    <m/>
    <m/>
    <m/>
    <m/>
    <m/>
    <n v="4"/>
    <m/>
    <m/>
    <m/>
    <m/>
    <m/>
    <n v="2"/>
    <m/>
    <n v="2"/>
    <m/>
    <n v="10"/>
  </r>
  <r>
    <x v="8"/>
    <x v="61"/>
    <m/>
    <m/>
    <m/>
    <m/>
    <m/>
    <m/>
    <m/>
    <m/>
    <m/>
    <m/>
    <m/>
    <m/>
    <m/>
    <m/>
    <m/>
    <m/>
    <m/>
    <m/>
    <m/>
    <m/>
    <m/>
    <m/>
    <n v="0"/>
  </r>
  <r>
    <x v="8"/>
    <x v="62"/>
    <m/>
    <m/>
    <m/>
    <m/>
    <m/>
    <m/>
    <n v="2"/>
    <m/>
    <m/>
    <m/>
    <m/>
    <m/>
    <n v="2"/>
    <m/>
    <m/>
    <m/>
    <m/>
    <m/>
    <n v="2"/>
    <m/>
    <n v="2"/>
    <m/>
    <n v="8"/>
  </r>
  <r>
    <x v="8"/>
    <x v="63"/>
    <m/>
    <m/>
    <m/>
    <m/>
    <m/>
    <m/>
    <m/>
    <m/>
    <m/>
    <m/>
    <m/>
    <m/>
    <m/>
    <m/>
    <m/>
    <m/>
    <m/>
    <m/>
    <m/>
    <m/>
    <m/>
    <m/>
    <n v="0"/>
  </r>
  <r>
    <x v="8"/>
    <x v="1"/>
    <m/>
    <m/>
    <m/>
    <m/>
    <m/>
    <m/>
    <m/>
    <m/>
    <m/>
    <m/>
    <m/>
    <m/>
    <m/>
    <m/>
    <m/>
    <m/>
    <m/>
    <m/>
    <m/>
    <m/>
    <m/>
    <m/>
    <n v="0"/>
  </r>
  <r>
    <x v="8"/>
    <x v="2"/>
    <m/>
    <m/>
    <m/>
    <m/>
    <m/>
    <m/>
    <n v="3"/>
    <m/>
    <m/>
    <m/>
    <m/>
    <m/>
    <n v="3"/>
    <m/>
    <m/>
    <m/>
    <m/>
    <m/>
    <n v="3"/>
    <m/>
    <n v="3"/>
    <m/>
    <n v="12"/>
  </r>
  <r>
    <x v="8"/>
    <x v="3"/>
    <m/>
    <m/>
    <m/>
    <m/>
    <m/>
    <m/>
    <m/>
    <m/>
    <m/>
    <m/>
    <m/>
    <m/>
    <m/>
    <m/>
    <m/>
    <m/>
    <m/>
    <m/>
    <m/>
    <m/>
    <m/>
    <m/>
    <n v="0"/>
  </r>
  <r>
    <x v="8"/>
    <x v="4"/>
    <m/>
    <m/>
    <m/>
    <m/>
    <m/>
    <m/>
    <m/>
    <m/>
    <m/>
    <m/>
    <m/>
    <m/>
    <m/>
    <m/>
    <m/>
    <m/>
    <m/>
    <m/>
    <m/>
    <m/>
    <m/>
    <m/>
    <n v="0"/>
  </r>
  <r>
    <x v="8"/>
    <x v="5"/>
    <m/>
    <m/>
    <m/>
    <m/>
    <m/>
    <m/>
    <m/>
    <m/>
    <m/>
    <m/>
    <m/>
    <m/>
    <m/>
    <m/>
    <m/>
    <m/>
    <m/>
    <m/>
    <m/>
    <m/>
    <m/>
    <m/>
    <n v="0"/>
  </r>
  <r>
    <x v="8"/>
    <x v="6"/>
    <m/>
    <m/>
    <m/>
    <m/>
    <m/>
    <m/>
    <m/>
    <m/>
    <m/>
    <m/>
    <m/>
    <m/>
    <m/>
    <m/>
    <m/>
    <m/>
    <m/>
    <m/>
    <m/>
    <m/>
    <m/>
    <m/>
    <n v="0"/>
  </r>
  <r>
    <x v="8"/>
    <x v="8"/>
    <m/>
    <m/>
    <m/>
    <m/>
    <m/>
    <m/>
    <n v="2"/>
    <m/>
    <n v="2"/>
    <m/>
    <m/>
    <m/>
    <n v="5"/>
    <m/>
    <m/>
    <m/>
    <m/>
    <m/>
    <n v="6"/>
    <m/>
    <n v="3"/>
    <m/>
    <n v="18"/>
  </r>
  <r>
    <x v="8"/>
    <x v="64"/>
    <m/>
    <m/>
    <m/>
    <m/>
    <m/>
    <m/>
    <m/>
    <m/>
    <m/>
    <m/>
    <m/>
    <m/>
    <n v="1"/>
    <m/>
    <m/>
    <m/>
    <m/>
    <m/>
    <m/>
    <m/>
    <n v="2"/>
    <n v="1"/>
    <n v="4"/>
  </r>
  <r>
    <x v="8"/>
    <x v="9"/>
    <m/>
    <m/>
    <m/>
    <m/>
    <m/>
    <m/>
    <m/>
    <m/>
    <m/>
    <m/>
    <m/>
    <m/>
    <m/>
    <m/>
    <m/>
    <m/>
    <m/>
    <m/>
    <m/>
    <m/>
    <m/>
    <m/>
    <n v="0"/>
  </r>
  <r>
    <x v="8"/>
    <x v="10"/>
    <m/>
    <m/>
    <m/>
    <m/>
    <m/>
    <m/>
    <m/>
    <m/>
    <m/>
    <m/>
    <m/>
    <m/>
    <m/>
    <m/>
    <m/>
    <m/>
    <m/>
    <m/>
    <m/>
    <m/>
    <m/>
    <m/>
    <n v="0"/>
  </r>
  <r>
    <x v="8"/>
    <x v="11"/>
    <m/>
    <m/>
    <m/>
    <m/>
    <m/>
    <m/>
    <m/>
    <m/>
    <m/>
    <m/>
    <m/>
    <m/>
    <m/>
    <m/>
    <m/>
    <m/>
    <m/>
    <m/>
    <m/>
    <m/>
    <n v="1"/>
    <m/>
    <n v="1"/>
  </r>
  <r>
    <x v="8"/>
    <x v="12"/>
    <m/>
    <m/>
    <m/>
    <m/>
    <m/>
    <m/>
    <m/>
    <m/>
    <m/>
    <m/>
    <m/>
    <m/>
    <m/>
    <m/>
    <m/>
    <m/>
    <m/>
    <m/>
    <m/>
    <m/>
    <m/>
    <m/>
    <n v="0"/>
  </r>
  <r>
    <x v="8"/>
    <x v="13"/>
    <m/>
    <m/>
    <m/>
    <m/>
    <m/>
    <m/>
    <m/>
    <m/>
    <m/>
    <m/>
    <m/>
    <m/>
    <m/>
    <m/>
    <m/>
    <m/>
    <m/>
    <m/>
    <m/>
    <m/>
    <m/>
    <m/>
    <n v="0"/>
  </r>
  <r>
    <x v="8"/>
    <x v="14"/>
    <m/>
    <m/>
    <m/>
    <m/>
    <m/>
    <m/>
    <n v="2"/>
    <m/>
    <m/>
    <m/>
    <m/>
    <m/>
    <n v="2"/>
    <m/>
    <m/>
    <m/>
    <m/>
    <m/>
    <m/>
    <n v="2"/>
    <n v="2"/>
    <m/>
    <n v="8"/>
  </r>
  <r>
    <x v="8"/>
    <x v="15"/>
    <m/>
    <m/>
    <m/>
    <m/>
    <m/>
    <m/>
    <m/>
    <m/>
    <m/>
    <m/>
    <m/>
    <m/>
    <m/>
    <m/>
    <m/>
    <m/>
    <m/>
    <m/>
    <m/>
    <m/>
    <m/>
    <m/>
    <n v="0"/>
  </r>
  <r>
    <x v="8"/>
    <x v="16"/>
    <m/>
    <m/>
    <m/>
    <m/>
    <m/>
    <m/>
    <m/>
    <m/>
    <m/>
    <m/>
    <m/>
    <m/>
    <m/>
    <m/>
    <m/>
    <m/>
    <m/>
    <m/>
    <m/>
    <m/>
    <m/>
    <m/>
    <n v="0"/>
  </r>
  <r>
    <x v="8"/>
    <x v="17"/>
    <m/>
    <m/>
    <m/>
    <m/>
    <m/>
    <m/>
    <m/>
    <m/>
    <m/>
    <m/>
    <m/>
    <m/>
    <m/>
    <m/>
    <m/>
    <m/>
    <m/>
    <m/>
    <m/>
    <m/>
    <m/>
    <m/>
    <n v="0"/>
  </r>
  <r>
    <x v="8"/>
    <x v="18"/>
    <m/>
    <m/>
    <m/>
    <m/>
    <m/>
    <m/>
    <m/>
    <m/>
    <m/>
    <m/>
    <m/>
    <m/>
    <m/>
    <m/>
    <m/>
    <m/>
    <m/>
    <m/>
    <m/>
    <m/>
    <m/>
    <m/>
    <n v="0"/>
  </r>
  <r>
    <x v="8"/>
    <x v="19"/>
    <m/>
    <m/>
    <m/>
    <m/>
    <m/>
    <m/>
    <n v="2"/>
    <m/>
    <m/>
    <m/>
    <m/>
    <m/>
    <n v="2"/>
    <m/>
    <m/>
    <m/>
    <m/>
    <m/>
    <n v="2"/>
    <m/>
    <n v="2"/>
    <m/>
    <n v="8"/>
  </r>
  <r>
    <x v="8"/>
    <x v="21"/>
    <m/>
    <m/>
    <m/>
    <m/>
    <m/>
    <m/>
    <n v="5"/>
    <m/>
    <m/>
    <m/>
    <m/>
    <m/>
    <n v="6"/>
    <m/>
    <m/>
    <m/>
    <m/>
    <m/>
    <n v="4"/>
    <m/>
    <n v="4"/>
    <m/>
    <n v="19"/>
  </r>
  <r>
    <x v="8"/>
    <x v="22"/>
    <m/>
    <m/>
    <m/>
    <m/>
    <m/>
    <m/>
    <m/>
    <m/>
    <m/>
    <m/>
    <m/>
    <m/>
    <m/>
    <m/>
    <m/>
    <m/>
    <m/>
    <m/>
    <m/>
    <m/>
    <m/>
    <m/>
    <n v="0"/>
  </r>
  <r>
    <x v="8"/>
    <x v="23"/>
    <m/>
    <m/>
    <m/>
    <m/>
    <m/>
    <m/>
    <m/>
    <m/>
    <m/>
    <m/>
    <m/>
    <m/>
    <m/>
    <m/>
    <m/>
    <m/>
    <m/>
    <m/>
    <m/>
    <m/>
    <m/>
    <m/>
    <n v="0"/>
  </r>
  <r>
    <x v="8"/>
    <x v="25"/>
    <m/>
    <m/>
    <m/>
    <m/>
    <m/>
    <m/>
    <m/>
    <m/>
    <m/>
    <m/>
    <m/>
    <m/>
    <m/>
    <m/>
    <m/>
    <m/>
    <m/>
    <m/>
    <m/>
    <m/>
    <m/>
    <m/>
    <n v="0"/>
  </r>
  <r>
    <x v="8"/>
    <x v="26"/>
    <m/>
    <m/>
    <m/>
    <m/>
    <m/>
    <m/>
    <m/>
    <m/>
    <m/>
    <m/>
    <m/>
    <m/>
    <n v="4"/>
    <m/>
    <m/>
    <m/>
    <m/>
    <m/>
    <n v="1"/>
    <m/>
    <m/>
    <m/>
    <n v="5"/>
  </r>
  <r>
    <x v="8"/>
    <x v="65"/>
    <m/>
    <m/>
    <m/>
    <m/>
    <m/>
    <m/>
    <n v="8"/>
    <m/>
    <m/>
    <m/>
    <m/>
    <m/>
    <n v="8"/>
    <m/>
    <m/>
    <m/>
    <m/>
    <m/>
    <n v="8"/>
    <m/>
    <n v="10"/>
    <m/>
    <n v="34"/>
  </r>
  <r>
    <x v="8"/>
    <x v="27"/>
    <m/>
    <m/>
    <m/>
    <m/>
    <m/>
    <m/>
    <m/>
    <m/>
    <m/>
    <m/>
    <m/>
    <m/>
    <m/>
    <m/>
    <m/>
    <m/>
    <m/>
    <m/>
    <m/>
    <m/>
    <m/>
    <m/>
    <n v="0"/>
  </r>
  <r>
    <x v="8"/>
    <x v="28"/>
    <m/>
    <m/>
    <m/>
    <m/>
    <m/>
    <m/>
    <n v="3"/>
    <n v="1"/>
    <n v="1"/>
    <m/>
    <n v="1"/>
    <n v="1"/>
    <n v="3"/>
    <n v="1"/>
    <n v="1"/>
    <n v="1"/>
    <n v="1"/>
    <n v="1"/>
    <n v="3"/>
    <m/>
    <n v="3"/>
    <m/>
    <n v="21"/>
  </r>
  <r>
    <x v="8"/>
    <x v="29"/>
    <m/>
    <m/>
    <m/>
    <m/>
    <m/>
    <m/>
    <m/>
    <m/>
    <m/>
    <m/>
    <m/>
    <m/>
    <m/>
    <m/>
    <m/>
    <m/>
    <m/>
    <m/>
    <m/>
    <m/>
    <m/>
    <m/>
    <n v="0"/>
  </r>
  <r>
    <x v="8"/>
    <x v="30"/>
    <m/>
    <m/>
    <m/>
    <m/>
    <m/>
    <m/>
    <n v="3"/>
    <n v="1"/>
    <m/>
    <m/>
    <m/>
    <m/>
    <n v="4"/>
    <m/>
    <m/>
    <m/>
    <m/>
    <m/>
    <n v="2"/>
    <m/>
    <n v="4"/>
    <m/>
    <n v="14"/>
  </r>
  <r>
    <x v="8"/>
    <x v="31"/>
    <n v="1"/>
    <n v="1"/>
    <m/>
    <m/>
    <m/>
    <m/>
    <n v="2"/>
    <m/>
    <m/>
    <m/>
    <m/>
    <m/>
    <n v="4"/>
    <m/>
    <m/>
    <m/>
    <m/>
    <m/>
    <n v="4"/>
    <m/>
    <n v="4"/>
    <m/>
    <n v="16"/>
  </r>
  <r>
    <x v="8"/>
    <x v="32"/>
    <m/>
    <m/>
    <m/>
    <m/>
    <m/>
    <m/>
    <n v="2"/>
    <m/>
    <m/>
    <m/>
    <m/>
    <m/>
    <n v="2"/>
    <m/>
    <m/>
    <m/>
    <m/>
    <m/>
    <n v="2"/>
    <m/>
    <n v="2"/>
    <m/>
    <n v="8"/>
  </r>
  <r>
    <x v="8"/>
    <x v="33"/>
    <m/>
    <m/>
    <m/>
    <m/>
    <m/>
    <m/>
    <m/>
    <m/>
    <m/>
    <m/>
    <m/>
    <m/>
    <m/>
    <m/>
    <m/>
    <m/>
    <m/>
    <m/>
    <m/>
    <m/>
    <m/>
    <m/>
    <n v="0"/>
  </r>
  <r>
    <x v="8"/>
    <x v="34"/>
    <m/>
    <m/>
    <m/>
    <m/>
    <m/>
    <m/>
    <m/>
    <m/>
    <m/>
    <m/>
    <m/>
    <m/>
    <m/>
    <m/>
    <m/>
    <m/>
    <m/>
    <m/>
    <m/>
    <m/>
    <m/>
    <m/>
    <n v="0"/>
  </r>
  <r>
    <x v="8"/>
    <x v="66"/>
    <m/>
    <m/>
    <m/>
    <m/>
    <m/>
    <m/>
    <m/>
    <m/>
    <m/>
    <m/>
    <m/>
    <m/>
    <m/>
    <m/>
    <m/>
    <m/>
    <m/>
    <m/>
    <m/>
    <m/>
    <m/>
    <m/>
    <n v="0"/>
  </r>
  <r>
    <x v="8"/>
    <x v="36"/>
    <m/>
    <m/>
    <m/>
    <m/>
    <m/>
    <m/>
    <n v="8"/>
    <m/>
    <m/>
    <m/>
    <m/>
    <m/>
    <n v="8"/>
    <m/>
    <m/>
    <m/>
    <m/>
    <m/>
    <n v="7"/>
    <m/>
    <n v="8"/>
    <m/>
    <n v="31"/>
  </r>
  <r>
    <x v="8"/>
    <x v="37"/>
    <m/>
    <m/>
    <m/>
    <m/>
    <m/>
    <m/>
    <n v="1"/>
    <m/>
    <m/>
    <m/>
    <m/>
    <m/>
    <n v="1"/>
    <m/>
    <m/>
    <m/>
    <m/>
    <m/>
    <n v="1"/>
    <m/>
    <n v="1"/>
    <m/>
    <n v="4"/>
  </r>
  <r>
    <x v="8"/>
    <x v="38"/>
    <m/>
    <m/>
    <m/>
    <m/>
    <m/>
    <m/>
    <n v="2"/>
    <m/>
    <m/>
    <m/>
    <m/>
    <m/>
    <n v="2"/>
    <m/>
    <m/>
    <m/>
    <m/>
    <m/>
    <n v="2"/>
    <m/>
    <n v="2"/>
    <m/>
    <n v="8"/>
  </r>
  <r>
    <x v="8"/>
    <x v="39"/>
    <m/>
    <m/>
    <m/>
    <m/>
    <m/>
    <m/>
    <m/>
    <m/>
    <m/>
    <m/>
    <m/>
    <m/>
    <m/>
    <m/>
    <m/>
    <m/>
    <m/>
    <m/>
    <m/>
    <m/>
    <m/>
    <m/>
    <n v="0"/>
  </r>
  <r>
    <x v="8"/>
    <x v="40"/>
    <m/>
    <m/>
    <m/>
    <m/>
    <m/>
    <m/>
    <m/>
    <m/>
    <m/>
    <m/>
    <m/>
    <m/>
    <m/>
    <m/>
    <m/>
    <m/>
    <m/>
    <m/>
    <m/>
    <m/>
    <m/>
    <m/>
    <n v="0"/>
  </r>
  <r>
    <x v="8"/>
    <x v="41"/>
    <m/>
    <m/>
    <m/>
    <m/>
    <m/>
    <m/>
    <m/>
    <m/>
    <m/>
    <m/>
    <m/>
    <m/>
    <m/>
    <m/>
    <m/>
    <m/>
    <m/>
    <m/>
    <m/>
    <m/>
    <m/>
    <m/>
    <n v="0"/>
  </r>
  <r>
    <x v="8"/>
    <x v="43"/>
    <m/>
    <m/>
    <m/>
    <m/>
    <m/>
    <m/>
    <n v="2"/>
    <m/>
    <m/>
    <m/>
    <m/>
    <m/>
    <n v="2"/>
    <m/>
    <m/>
    <m/>
    <m/>
    <m/>
    <n v="2"/>
    <m/>
    <n v="2"/>
    <m/>
    <n v="8"/>
  </r>
  <r>
    <x v="8"/>
    <x v="44"/>
    <m/>
    <m/>
    <m/>
    <m/>
    <m/>
    <m/>
    <m/>
    <m/>
    <m/>
    <m/>
    <m/>
    <m/>
    <m/>
    <m/>
    <m/>
    <m/>
    <m/>
    <m/>
    <m/>
    <m/>
    <m/>
    <m/>
    <n v="0"/>
  </r>
  <r>
    <x v="8"/>
    <x v="45"/>
    <m/>
    <m/>
    <m/>
    <m/>
    <m/>
    <m/>
    <n v="2"/>
    <m/>
    <m/>
    <m/>
    <m/>
    <m/>
    <n v="2"/>
    <m/>
    <m/>
    <m/>
    <m/>
    <m/>
    <n v="2"/>
    <m/>
    <n v="2"/>
    <m/>
    <n v="8"/>
  </r>
  <r>
    <x v="8"/>
    <x v="46"/>
    <m/>
    <m/>
    <m/>
    <m/>
    <m/>
    <m/>
    <n v="1"/>
    <m/>
    <m/>
    <m/>
    <m/>
    <m/>
    <n v="2"/>
    <m/>
    <m/>
    <m/>
    <m/>
    <m/>
    <n v="2"/>
    <m/>
    <n v="1"/>
    <m/>
    <n v="6"/>
  </r>
  <r>
    <x v="8"/>
    <x v="78"/>
    <m/>
    <m/>
    <m/>
    <m/>
    <m/>
    <m/>
    <n v="1"/>
    <m/>
    <m/>
    <m/>
    <m/>
    <m/>
    <n v="1"/>
    <m/>
    <m/>
    <m/>
    <m/>
    <m/>
    <n v="1"/>
    <m/>
    <n v="1"/>
    <m/>
    <n v="4"/>
  </r>
  <r>
    <x v="9"/>
    <x v="58"/>
    <m/>
    <m/>
    <m/>
    <m/>
    <m/>
    <m/>
    <m/>
    <m/>
    <m/>
    <m/>
    <m/>
    <m/>
    <m/>
    <m/>
    <m/>
    <m/>
    <m/>
    <m/>
    <m/>
    <m/>
    <m/>
    <m/>
    <n v="0"/>
  </r>
  <r>
    <x v="9"/>
    <x v="59"/>
    <m/>
    <m/>
    <m/>
    <m/>
    <m/>
    <m/>
    <m/>
    <m/>
    <m/>
    <m/>
    <m/>
    <m/>
    <m/>
    <m/>
    <m/>
    <m/>
    <m/>
    <m/>
    <m/>
    <m/>
    <m/>
    <m/>
    <n v="0"/>
  </r>
  <r>
    <x v="9"/>
    <x v="60"/>
    <m/>
    <m/>
    <m/>
    <m/>
    <m/>
    <m/>
    <m/>
    <m/>
    <m/>
    <m/>
    <m/>
    <m/>
    <m/>
    <m/>
    <m/>
    <m/>
    <m/>
    <m/>
    <m/>
    <m/>
    <m/>
    <m/>
    <n v="0"/>
  </r>
  <r>
    <x v="9"/>
    <x v="61"/>
    <m/>
    <m/>
    <m/>
    <m/>
    <m/>
    <m/>
    <m/>
    <m/>
    <m/>
    <m/>
    <m/>
    <m/>
    <m/>
    <m/>
    <m/>
    <m/>
    <m/>
    <m/>
    <m/>
    <m/>
    <m/>
    <m/>
    <n v="0"/>
  </r>
  <r>
    <x v="9"/>
    <x v="62"/>
    <m/>
    <m/>
    <m/>
    <m/>
    <m/>
    <m/>
    <m/>
    <m/>
    <m/>
    <m/>
    <m/>
    <m/>
    <m/>
    <m/>
    <m/>
    <m/>
    <m/>
    <m/>
    <m/>
    <m/>
    <m/>
    <m/>
    <n v="0"/>
  </r>
  <r>
    <x v="9"/>
    <x v="63"/>
    <m/>
    <m/>
    <m/>
    <m/>
    <m/>
    <m/>
    <m/>
    <m/>
    <m/>
    <m/>
    <m/>
    <m/>
    <m/>
    <m/>
    <m/>
    <m/>
    <m/>
    <m/>
    <m/>
    <m/>
    <m/>
    <m/>
    <n v="0"/>
  </r>
  <r>
    <x v="9"/>
    <x v="1"/>
    <m/>
    <m/>
    <m/>
    <m/>
    <m/>
    <m/>
    <m/>
    <m/>
    <m/>
    <m/>
    <m/>
    <m/>
    <m/>
    <m/>
    <m/>
    <m/>
    <m/>
    <m/>
    <m/>
    <m/>
    <m/>
    <m/>
    <n v="0"/>
  </r>
  <r>
    <x v="9"/>
    <x v="2"/>
    <m/>
    <m/>
    <m/>
    <m/>
    <m/>
    <m/>
    <m/>
    <m/>
    <m/>
    <m/>
    <m/>
    <m/>
    <m/>
    <m/>
    <m/>
    <m/>
    <m/>
    <m/>
    <m/>
    <m/>
    <m/>
    <m/>
    <n v="0"/>
  </r>
  <r>
    <x v="9"/>
    <x v="3"/>
    <m/>
    <m/>
    <m/>
    <m/>
    <m/>
    <m/>
    <m/>
    <m/>
    <m/>
    <m/>
    <m/>
    <m/>
    <m/>
    <m/>
    <m/>
    <m/>
    <m/>
    <m/>
    <m/>
    <m/>
    <m/>
    <m/>
    <n v="0"/>
  </r>
  <r>
    <x v="9"/>
    <x v="4"/>
    <m/>
    <m/>
    <m/>
    <m/>
    <m/>
    <m/>
    <m/>
    <m/>
    <m/>
    <m/>
    <m/>
    <m/>
    <m/>
    <m/>
    <m/>
    <m/>
    <m/>
    <m/>
    <m/>
    <m/>
    <m/>
    <m/>
    <n v="0"/>
  </r>
  <r>
    <x v="9"/>
    <x v="5"/>
    <m/>
    <m/>
    <m/>
    <m/>
    <m/>
    <m/>
    <m/>
    <m/>
    <m/>
    <m/>
    <m/>
    <m/>
    <m/>
    <m/>
    <m/>
    <m/>
    <m/>
    <m/>
    <m/>
    <m/>
    <m/>
    <m/>
    <n v="0"/>
  </r>
  <r>
    <x v="9"/>
    <x v="6"/>
    <m/>
    <m/>
    <m/>
    <m/>
    <m/>
    <m/>
    <m/>
    <m/>
    <m/>
    <m/>
    <m/>
    <m/>
    <m/>
    <m/>
    <m/>
    <m/>
    <m/>
    <m/>
    <m/>
    <m/>
    <m/>
    <m/>
    <n v="0"/>
  </r>
  <r>
    <x v="9"/>
    <x v="8"/>
    <m/>
    <m/>
    <m/>
    <m/>
    <m/>
    <m/>
    <m/>
    <m/>
    <m/>
    <m/>
    <m/>
    <m/>
    <m/>
    <m/>
    <m/>
    <m/>
    <m/>
    <m/>
    <m/>
    <m/>
    <m/>
    <m/>
    <n v="0"/>
  </r>
  <r>
    <x v="9"/>
    <x v="64"/>
    <m/>
    <m/>
    <m/>
    <m/>
    <m/>
    <m/>
    <m/>
    <m/>
    <m/>
    <m/>
    <m/>
    <m/>
    <m/>
    <m/>
    <m/>
    <m/>
    <m/>
    <m/>
    <m/>
    <m/>
    <m/>
    <m/>
    <n v="0"/>
  </r>
  <r>
    <x v="9"/>
    <x v="9"/>
    <m/>
    <m/>
    <m/>
    <m/>
    <m/>
    <m/>
    <m/>
    <m/>
    <m/>
    <m/>
    <m/>
    <m/>
    <m/>
    <m/>
    <m/>
    <m/>
    <m/>
    <m/>
    <m/>
    <m/>
    <m/>
    <m/>
    <n v="0"/>
  </r>
  <r>
    <x v="9"/>
    <x v="10"/>
    <m/>
    <m/>
    <m/>
    <m/>
    <m/>
    <m/>
    <m/>
    <m/>
    <m/>
    <m/>
    <m/>
    <m/>
    <m/>
    <m/>
    <m/>
    <m/>
    <m/>
    <m/>
    <m/>
    <m/>
    <m/>
    <m/>
    <n v="0"/>
  </r>
  <r>
    <x v="9"/>
    <x v="11"/>
    <m/>
    <m/>
    <m/>
    <m/>
    <m/>
    <m/>
    <m/>
    <m/>
    <m/>
    <m/>
    <m/>
    <m/>
    <m/>
    <m/>
    <m/>
    <m/>
    <m/>
    <m/>
    <m/>
    <m/>
    <m/>
    <m/>
    <n v="0"/>
  </r>
  <r>
    <x v="9"/>
    <x v="12"/>
    <m/>
    <m/>
    <m/>
    <m/>
    <m/>
    <m/>
    <m/>
    <m/>
    <m/>
    <m/>
    <m/>
    <m/>
    <m/>
    <m/>
    <m/>
    <m/>
    <m/>
    <m/>
    <m/>
    <m/>
    <m/>
    <m/>
    <n v="0"/>
  </r>
  <r>
    <x v="9"/>
    <x v="13"/>
    <m/>
    <m/>
    <m/>
    <m/>
    <m/>
    <m/>
    <m/>
    <m/>
    <m/>
    <m/>
    <m/>
    <m/>
    <m/>
    <m/>
    <m/>
    <m/>
    <m/>
    <m/>
    <m/>
    <m/>
    <m/>
    <m/>
    <n v="0"/>
  </r>
  <r>
    <x v="9"/>
    <x v="14"/>
    <m/>
    <m/>
    <m/>
    <m/>
    <m/>
    <m/>
    <m/>
    <m/>
    <m/>
    <m/>
    <m/>
    <m/>
    <m/>
    <m/>
    <m/>
    <m/>
    <m/>
    <m/>
    <m/>
    <m/>
    <m/>
    <m/>
    <n v="0"/>
  </r>
  <r>
    <x v="9"/>
    <x v="15"/>
    <m/>
    <m/>
    <m/>
    <m/>
    <m/>
    <m/>
    <m/>
    <m/>
    <m/>
    <m/>
    <m/>
    <m/>
    <m/>
    <m/>
    <m/>
    <m/>
    <m/>
    <m/>
    <m/>
    <m/>
    <m/>
    <m/>
    <n v="0"/>
  </r>
  <r>
    <x v="9"/>
    <x v="16"/>
    <m/>
    <m/>
    <m/>
    <m/>
    <m/>
    <m/>
    <m/>
    <m/>
    <m/>
    <m/>
    <m/>
    <m/>
    <m/>
    <m/>
    <m/>
    <m/>
    <m/>
    <m/>
    <m/>
    <m/>
    <m/>
    <m/>
    <n v="0"/>
  </r>
  <r>
    <x v="9"/>
    <x v="17"/>
    <m/>
    <m/>
    <m/>
    <m/>
    <m/>
    <m/>
    <m/>
    <m/>
    <m/>
    <m/>
    <m/>
    <m/>
    <m/>
    <m/>
    <m/>
    <m/>
    <m/>
    <m/>
    <m/>
    <m/>
    <m/>
    <m/>
    <n v="0"/>
  </r>
  <r>
    <x v="9"/>
    <x v="18"/>
    <m/>
    <m/>
    <m/>
    <m/>
    <m/>
    <m/>
    <m/>
    <m/>
    <m/>
    <m/>
    <m/>
    <m/>
    <m/>
    <m/>
    <m/>
    <m/>
    <m/>
    <m/>
    <m/>
    <m/>
    <m/>
    <m/>
    <n v="0"/>
  </r>
  <r>
    <x v="9"/>
    <x v="19"/>
    <m/>
    <m/>
    <m/>
    <m/>
    <m/>
    <m/>
    <m/>
    <m/>
    <m/>
    <m/>
    <m/>
    <m/>
    <m/>
    <m/>
    <m/>
    <m/>
    <m/>
    <m/>
    <m/>
    <m/>
    <m/>
    <m/>
    <n v="0"/>
  </r>
  <r>
    <x v="9"/>
    <x v="21"/>
    <m/>
    <m/>
    <m/>
    <m/>
    <m/>
    <m/>
    <m/>
    <m/>
    <m/>
    <m/>
    <m/>
    <m/>
    <m/>
    <m/>
    <m/>
    <m/>
    <m/>
    <m/>
    <m/>
    <m/>
    <m/>
    <m/>
    <n v="0"/>
  </r>
  <r>
    <x v="9"/>
    <x v="22"/>
    <m/>
    <m/>
    <m/>
    <m/>
    <m/>
    <m/>
    <m/>
    <m/>
    <m/>
    <m/>
    <m/>
    <m/>
    <m/>
    <m/>
    <m/>
    <m/>
    <m/>
    <m/>
    <m/>
    <m/>
    <m/>
    <m/>
    <n v="0"/>
  </r>
  <r>
    <x v="9"/>
    <x v="23"/>
    <m/>
    <m/>
    <m/>
    <m/>
    <m/>
    <m/>
    <m/>
    <m/>
    <m/>
    <m/>
    <m/>
    <m/>
    <m/>
    <m/>
    <m/>
    <m/>
    <m/>
    <m/>
    <m/>
    <m/>
    <m/>
    <m/>
    <n v="0"/>
  </r>
  <r>
    <x v="9"/>
    <x v="25"/>
    <m/>
    <m/>
    <m/>
    <m/>
    <m/>
    <m/>
    <m/>
    <m/>
    <m/>
    <m/>
    <m/>
    <m/>
    <m/>
    <m/>
    <m/>
    <m/>
    <m/>
    <m/>
    <m/>
    <m/>
    <m/>
    <m/>
    <n v="0"/>
  </r>
  <r>
    <x v="9"/>
    <x v="26"/>
    <m/>
    <m/>
    <m/>
    <m/>
    <m/>
    <m/>
    <m/>
    <m/>
    <m/>
    <m/>
    <m/>
    <m/>
    <m/>
    <m/>
    <m/>
    <m/>
    <m/>
    <m/>
    <m/>
    <m/>
    <m/>
    <m/>
    <n v="0"/>
  </r>
  <r>
    <x v="9"/>
    <x v="65"/>
    <m/>
    <m/>
    <m/>
    <m/>
    <m/>
    <m/>
    <m/>
    <m/>
    <m/>
    <m/>
    <m/>
    <m/>
    <m/>
    <m/>
    <m/>
    <m/>
    <m/>
    <m/>
    <m/>
    <m/>
    <m/>
    <m/>
    <n v="0"/>
  </r>
  <r>
    <x v="9"/>
    <x v="27"/>
    <m/>
    <m/>
    <m/>
    <m/>
    <m/>
    <m/>
    <m/>
    <m/>
    <m/>
    <m/>
    <m/>
    <m/>
    <m/>
    <m/>
    <m/>
    <m/>
    <m/>
    <m/>
    <m/>
    <m/>
    <m/>
    <m/>
    <n v="0"/>
  </r>
  <r>
    <x v="9"/>
    <x v="28"/>
    <m/>
    <m/>
    <m/>
    <m/>
    <m/>
    <m/>
    <m/>
    <m/>
    <m/>
    <m/>
    <m/>
    <m/>
    <m/>
    <m/>
    <m/>
    <m/>
    <m/>
    <m/>
    <m/>
    <m/>
    <m/>
    <m/>
    <n v="0"/>
  </r>
  <r>
    <x v="9"/>
    <x v="29"/>
    <m/>
    <m/>
    <m/>
    <m/>
    <m/>
    <m/>
    <m/>
    <m/>
    <m/>
    <m/>
    <m/>
    <m/>
    <m/>
    <m/>
    <m/>
    <m/>
    <m/>
    <m/>
    <m/>
    <m/>
    <m/>
    <m/>
    <n v="0"/>
  </r>
  <r>
    <x v="9"/>
    <x v="30"/>
    <m/>
    <m/>
    <m/>
    <m/>
    <m/>
    <m/>
    <m/>
    <m/>
    <m/>
    <m/>
    <m/>
    <m/>
    <m/>
    <m/>
    <m/>
    <m/>
    <m/>
    <m/>
    <m/>
    <m/>
    <m/>
    <m/>
    <n v="0"/>
  </r>
  <r>
    <x v="9"/>
    <x v="31"/>
    <m/>
    <m/>
    <m/>
    <m/>
    <m/>
    <m/>
    <m/>
    <m/>
    <m/>
    <m/>
    <m/>
    <m/>
    <m/>
    <m/>
    <m/>
    <m/>
    <m/>
    <m/>
    <m/>
    <m/>
    <m/>
    <m/>
    <n v="0"/>
  </r>
  <r>
    <x v="9"/>
    <x v="32"/>
    <m/>
    <m/>
    <m/>
    <m/>
    <m/>
    <m/>
    <m/>
    <m/>
    <m/>
    <m/>
    <m/>
    <m/>
    <m/>
    <m/>
    <m/>
    <m/>
    <m/>
    <m/>
    <m/>
    <m/>
    <m/>
    <m/>
    <n v="0"/>
  </r>
  <r>
    <x v="9"/>
    <x v="33"/>
    <m/>
    <m/>
    <m/>
    <m/>
    <m/>
    <m/>
    <m/>
    <m/>
    <m/>
    <m/>
    <m/>
    <m/>
    <m/>
    <m/>
    <m/>
    <m/>
    <m/>
    <m/>
    <m/>
    <m/>
    <m/>
    <m/>
    <n v="0"/>
  </r>
  <r>
    <x v="9"/>
    <x v="34"/>
    <m/>
    <m/>
    <m/>
    <m/>
    <m/>
    <m/>
    <m/>
    <m/>
    <m/>
    <m/>
    <m/>
    <m/>
    <m/>
    <m/>
    <m/>
    <m/>
    <m/>
    <m/>
    <m/>
    <m/>
    <m/>
    <m/>
    <n v="0"/>
  </r>
  <r>
    <x v="9"/>
    <x v="66"/>
    <m/>
    <m/>
    <m/>
    <m/>
    <m/>
    <m/>
    <m/>
    <m/>
    <m/>
    <m/>
    <m/>
    <m/>
    <m/>
    <m/>
    <m/>
    <m/>
    <m/>
    <m/>
    <m/>
    <m/>
    <m/>
    <m/>
    <n v="0"/>
  </r>
  <r>
    <x v="9"/>
    <x v="36"/>
    <m/>
    <m/>
    <m/>
    <m/>
    <m/>
    <m/>
    <m/>
    <m/>
    <m/>
    <m/>
    <m/>
    <m/>
    <m/>
    <m/>
    <m/>
    <m/>
    <m/>
    <m/>
    <m/>
    <m/>
    <m/>
    <m/>
    <n v="0"/>
  </r>
  <r>
    <x v="9"/>
    <x v="37"/>
    <m/>
    <m/>
    <m/>
    <m/>
    <m/>
    <m/>
    <m/>
    <m/>
    <m/>
    <m/>
    <m/>
    <m/>
    <m/>
    <m/>
    <m/>
    <m/>
    <m/>
    <m/>
    <m/>
    <m/>
    <m/>
    <m/>
    <n v="0"/>
  </r>
  <r>
    <x v="9"/>
    <x v="38"/>
    <m/>
    <m/>
    <m/>
    <m/>
    <m/>
    <m/>
    <m/>
    <m/>
    <m/>
    <m/>
    <m/>
    <m/>
    <m/>
    <m/>
    <m/>
    <m/>
    <m/>
    <m/>
    <m/>
    <m/>
    <m/>
    <m/>
    <n v="0"/>
  </r>
  <r>
    <x v="9"/>
    <x v="39"/>
    <m/>
    <m/>
    <m/>
    <m/>
    <m/>
    <m/>
    <m/>
    <m/>
    <m/>
    <m/>
    <m/>
    <m/>
    <m/>
    <m/>
    <m/>
    <m/>
    <m/>
    <m/>
    <m/>
    <m/>
    <m/>
    <m/>
    <n v="0"/>
  </r>
  <r>
    <x v="9"/>
    <x v="40"/>
    <m/>
    <m/>
    <m/>
    <m/>
    <m/>
    <m/>
    <m/>
    <m/>
    <m/>
    <m/>
    <m/>
    <m/>
    <m/>
    <m/>
    <m/>
    <m/>
    <m/>
    <m/>
    <m/>
    <m/>
    <m/>
    <m/>
    <n v="0"/>
  </r>
  <r>
    <x v="9"/>
    <x v="41"/>
    <m/>
    <m/>
    <m/>
    <m/>
    <m/>
    <m/>
    <m/>
    <m/>
    <m/>
    <m/>
    <m/>
    <m/>
    <m/>
    <m/>
    <m/>
    <m/>
    <m/>
    <m/>
    <m/>
    <m/>
    <m/>
    <m/>
    <n v="0"/>
  </r>
  <r>
    <x v="9"/>
    <x v="43"/>
    <m/>
    <m/>
    <m/>
    <m/>
    <m/>
    <m/>
    <m/>
    <m/>
    <m/>
    <m/>
    <m/>
    <m/>
    <m/>
    <m/>
    <m/>
    <m/>
    <m/>
    <m/>
    <m/>
    <m/>
    <m/>
    <m/>
    <n v="0"/>
  </r>
  <r>
    <x v="9"/>
    <x v="44"/>
    <m/>
    <m/>
    <m/>
    <m/>
    <m/>
    <m/>
    <n v="1"/>
    <m/>
    <m/>
    <m/>
    <m/>
    <m/>
    <m/>
    <n v="1"/>
    <m/>
    <m/>
    <m/>
    <m/>
    <m/>
    <m/>
    <m/>
    <m/>
    <n v="2"/>
  </r>
  <r>
    <x v="9"/>
    <x v="45"/>
    <m/>
    <m/>
    <m/>
    <m/>
    <m/>
    <m/>
    <m/>
    <m/>
    <m/>
    <m/>
    <m/>
    <m/>
    <m/>
    <m/>
    <m/>
    <m/>
    <m/>
    <m/>
    <m/>
    <m/>
    <m/>
    <m/>
    <n v="0"/>
  </r>
  <r>
    <x v="9"/>
    <x v="46"/>
    <m/>
    <m/>
    <m/>
    <m/>
    <m/>
    <m/>
    <m/>
    <m/>
    <m/>
    <m/>
    <m/>
    <m/>
    <m/>
    <m/>
    <m/>
    <m/>
    <m/>
    <m/>
    <m/>
    <m/>
    <m/>
    <m/>
    <n v="0"/>
  </r>
  <r>
    <x v="10"/>
    <x v="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</r>
  <r>
    <x v="1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2"/>
  </r>
  <r>
    <x v="1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4"/>
    <n v="0"/>
    <n v="6"/>
    <n v="0"/>
    <n v="1"/>
    <n v="0"/>
    <n v="4"/>
    <n v="56"/>
    <n v="25"/>
    <n v="0"/>
    <n v="0"/>
    <n v="0"/>
    <n v="0"/>
    <n v="2"/>
    <n v="11"/>
    <n v="11"/>
    <n v="0"/>
    <n v="0"/>
    <n v="0"/>
    <n v="27"/>
    <n v="2"/>
    <n v="35"/>
    <n v="0"/>
    <n v="180"/>
  </r>
  <r>
    <x v="1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</r>
  <r>
    <x v="1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1"/>
    <n v="0"/>
    <n v="0"/>
    <n v="0"/>
    <n v="0"/>
    <n v="0"/>
    <n v="0"/>
    <n v="20"/>
    <n v="4"/>
    <n v="0"/>
    <n v="0"/>
    <n v="0"/>
    <n v="0"/>
    <n v="0"/>
    <n v="4"/>
    <n v="4"/>
    <n v="2"/>
    <n v="2"/>
    <n v="2"/>
    <n v="7"/>
    <n v="3"/>
    <n v="12"/>
    <n v="0"/>
    <n v="60"/>
  </r>
  <r>
    <x v="1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3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3"/>
    <n v="0"/>
    <n v="9"/>
  </r>
  <r>
    <x v="1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5"/>
    <n v="7"/>
    <n v="4"/>
    <n v="3"/>
    <n v="3"/>
    <n v="5"/>
    <n v="3"/>
    <n v="241"/>
    <n v="16"/>
    <n v="5"/>
    <n v="4"/>
    <n v="2"/>
    <n v="7"/>
    <n v="13"/>
    <n v="17"/>
    <n v="14"/>
    <n v="7"/>
    <n v="7"/>
    <n v="7"/>
    <n v="32"/>
    <n v="12"/>
    <n v="113"/>
    <n v="7"/>
    <n v="529"/>
  </r>
  <r>
    <x v="1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3"/>
    <n v="0"/>
    <n v="0"/>
    <n v="0"/>
    <n v="0"/>
    <n v="0"/>
    <n v="0"/>
    <n v="2"/>
    <n v="3"/>
    <n v="0"/>
    <n v="0"/>
    <n v="0"/>
    <n v="0"/>
    <n v="1"/>
    <n v="1"/>
    <n v="1"/>
    <n v="0"/>
    <n v="0"/>
    <n v="0"/>
    <n v="1"/>
    <n v="0"/>
    <n v="4"/>
    <n v="0"/>
    <n v="13"/>
  </r>
  <r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</r>
  <r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</r>
  <r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3"/>
    <n v="0"/>
    <n v="0"/>
    <n v="0"/>
    <n v="0"/>
    <n v="0"/>
    <n v="0"/>
    <n v="27"/>
    <n v="0"/>
    <n v="0"/>
    <n v="0"/>
    <n v="0"/>
    <n v="0"/>
    <n v="0"/>
    <n v="0"/>
    <n v="0"/>
    <n v="0"/>
    <n v="0"/>
    <n v="0"/>
    <n v="12"/>
    <n v="0"/>
    <n v="62"/>
    <n v="0"/>
    <n v="101"/>
  </r>
  <r>
    <x v="10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6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2"/>
    <n v="1"/>
    <n v="1"/>
    <n v="0"/>
    <n v="6"/>
  </r>
  <r>
    <x v="11"/>
    <x v="58"/>
    <m/>
    <m/>
    <m/>
    <m/>
    <m/>
    <m/>
    <m/>
    <m/>
    <m/>
    <m/>
    <m/>
    <m/>
    <m/>
    <m/>
    <m/>
    <m/>
    <m/>
    <m/>
    <m/>
    <m/>
    <m/>
    <m/>
    <n v="0"/>
  </r>
  <r>
    <x v="11"/>
    <x v="59"/>
    <m/>
    <m/>
    <m/>
    <m/>
    <m/>
    <m/>
    <m/>
    <m/>
    <m/>
    <m/>
    <m/>
    <m/>
    <m/>
    <m/>
    <m/>
    <m/>
    <m/>
    <m/>
    <m/>
    <m/>
    <m/>
    <m/>
    <n v="0"/>
  </r>
  <r>
    <x v="11"/>
    <x v="60"/>
    <m/>
    <m/>
    <m/>
    <m/>
    <m/>
    <m/>
    <m/>
    <m/>
    <m/>
    <m/>
    <m/>
    <m/>
    <m/>
    <m/>
    <m/>
    <m/>
    <m/>
    <m/>
    <m/>
    <m/>
    <m/>
    <m/>
    <n v="0"/>
  </r>
  <r>
    <x v="11"/>
    <x v="61"/>
    <m/>
    <m/>
    <m/>
    <m/>
    <m/>
    <m/>
    <m/>
    <m/>
    <m/>
    <m/>
    <m/>
    <m/>
    <m/>
    <m/>
    <m/>
    <m/>
    <m/>
    <m/>
    <m/>
    <m/>
    <m/>
    <m/>
    <n v="0"/>
  </r>
  <r>
    <x v="11"/>
    <x v="62"/>
    <m/>
    <m/>
    <m/>
    <m/>
    <m/>
    <m/>
    <n v="8"/>
    <n v="8"/>
    <n v="8"/>
    <m/>
    <m/>
    <m/>
    <n v="16"/>
    <m/>
    <m/>
    <m/>
    <m/>
    <m/>
    <n v="15"/>
    <m/>
    <n v="16"/>
    <n v="3"/>
    <n v="73"/>
  </r>
  <r>
    <x v="11"/>
    <x v="63"/>
    <m/>
    <m/>
    <m/>
    <m/>
    <m/>
    <m/>
    <m/>
    <m/>
    <m/>
    <m/>
    <m/>
    <m/>
    <m/>
    <m/>
    <m/>
    <m/>
    <m/>
    <m/>
    <m/>
    <m/>
    <m/>
    <m/>
    <n v="0"/>
  </r>
  <r>
    <x v="11"/>
    <x v="1"/>
    <m/>
    <m/>
    <m/>
    <m/>
    <m/>
    <m/>
    <m/>
    <m/>
    <m/>
    <m/>
    <m/>
    <m/>
    <m/>
    <m/>
    <m/>
    <m/>
    <m/>
    <m/>
    <m/>
    <m/>
    <m/>
    <m/>
    <n v="0"/>
  </r>
  <r>
    <x v="11"/>
    <x v="2"/>
    <m/>
    <m/>
    <m/>
    <m/>
    <m/>
    <m/>
    <m/>
    <m/>
    <m/>
    <m/>
    <m/>
    <m/>
    <m/>
    <m/>
    <m/>
    <m/>
    <m/>
    <m/>
    <m/>
    <m/>
    <m/>
    <m/>
    <n v="0"/>
  </r>
  <r>
    <x v="11"/>
    <x v="3"/>
    <m/>
    <m/>
    <m/>
    <m/>
    <m/>
    <m/>
    <m/>
    <m/>
    <m/>
    <m/>
    <m/>
    <m/>
    <m/>
    <m/>
    <m/>
    <m/>
    <m/>
    <m/>
    <m/>
    <m/>
    <m/>
    <m/>
    <n v="0"/>
  </r>
  <r>
    <x v="11"/>
    <x v="4"/>
    <m/>
    <m/>
    <m/>
    <m/>
    <m/>
    <m/>
    <m/>
    <m/>
    <m/>
    <m/>
    <m/>
    <m/>
    <m/>
    <m/>
    <m/>
    <m/>
    <m/>
    <m/>
    <m/>
    <m/>
    <m/>
    <m/>
    <n v="0"/>
  </r>
  <r>
    <x v="11"/>
    <x v="5"/>
    <m/>
    <m/>
    <m/>
    <m/>
    <m/>
    <m/>
    <m/>
    <m/>
    <m/>
    <m/>
    <m/>
    <m/>
    <m/>
    <m/>
    <m/>
    <m/>
    <m/>
    <m/>
    <m/>
    <m/>
    <m/>
    <m/>
    <n v="0"/>
  </r>
  <r>
    <x v="11"/>
    <x v="6"/>
    <m/>
    <m/>
    <m/>
    <m/>
    <m/>
    <m/>
    <m/>
    <m/>
    <m/>
    <m/>
    <m/>
    <m/>
    <m/>
    <m/>
    <m/>
    <m/>
    <m/>
    <m/>
    <m/>
    <m/>
    <m/>
    <m/>
    <n v="0"/>
  </r>
  <r>
    <x v="11"/>
    <x v="8"/>
    <m/>
    <m/>
    <m/>
    <m/>
    <m/>
    <m/>
    <m/>
    <m/>
    <m/>
    <m/>
    <m/>
    <m/>
    <m/>
    <m/>
    <m/>
    <m/>
    <m/>
    <m/>
    <m/>
    <m/>
    <n v="1"/>
    <m/>
    <n v="1"/>
  </r>
  <r>
    <x v="11"/>
    <x v="64"/>
    <m/>
    <m/>
    <m/>
    <m/>
    <m/>
    <m/>
    <m/>
    <m/>
    <m/>
    <m/>
    <m/>
    <m/>
    <m/>
    <m/>
    <m/>
    <m/>
    <m/>
    <m/>
    <m/>
    <m/>
    <m/>
    <m/>
    <n v="0"/>
  </r>
  <r>
    <x v="11"/>
    <x v="9"/>
    <m/>
    <m/>
    <m/>
    <m/>
    <m/>
    <m/>
    <m/>
    <m/>
    <m/>
    <m/>
    <m/>
    <m/>
    <m/>
    <m/>
    <m/>
    <m/>
    <m/>
    <m/>
    <m/>
    <m/>
    <m/>
    <m/>
    <n v="0"/>
  </r>
  <r>
    <x v="11"/>
    <x v="10"/>
    <m/>
    <m/>
    <m/>
    <m/>
    <m/>
    <m/>
    <m/>
    <m/>
    <m/>
    <m/>
    <m/>
    <m/>
    <m/>
    <m/>
    <m/>
    <m/>
    <m/>
    <m/>
    <m/>
    <m/>
    <m/>
    <m/>
    <n v="0"/>
  </r>
  <r>
    <x v="11"/>
    <x v="11"/>
    <m/>
    <m/>
    <m/>
    <m/>
    <m/>
    <m/>
    <m/>
    <m/>
    <m/>
    <m/>
    <m/>
    <m/>
    <m/>
    <m/>
    <m/>
    <m/>
    <m/>
    <m/>
    <m/>
    <m/>
    <m/>
    <m/>
    <n v="0"/>
  </r>
  <r>
    <x v="11"/>
    <x v="12"/>
    <m/>
    <m/>
    <m/>
    <m/>
    <m/>
    <m/>
    <m/>
    <m/>
    <m/>
    <m/>
    <m/>
    <m/>
    <m/>
    <m/>
    <m/>
    <m/>
    <m/>
    <m/>
    <m/>
    <m/>
    <m/>
    <m/>
    <n v="0"/>
  </r>
  <r>
    <x v="11"/>
    <x v="13"/>
    <m/>
    <m/>
    <m/>
    <m/>
    <m/>
    <m/>
    <m/>
    <m/>
    <m/>
    <m/>
    <m/>
    <m/>
    <m/>
    <m/>
    <m/>
    <m/>
    <m/>
    <m/>
    <m/>
    <m/>
    <m/>
    <m/>
    <n v="0"/>
  </r>
  <r>
    <x v="11"/>
    <x v="14"/>
    <m/>
    <m/>
    <m/>
    <m/>
    <n v="3"/>
    <m/>
    <n v="7"/>
    <n v="2"/>
    <n v="2"/>
    <n v="3"/>
    <m/>
    <m/>
    <n v="5"/>
    <n v="1"/>
    <n v="1"/>
    <n v="2"/>
    <n v="2"/>
    <n v="2"/>
    <n v="3"/>
    <m/>
    <n v="6"/>
    <m/>
    <n v="39"/>
  </r>
  <r>
    <x v="11"/>
    <x v="15"/>
    <m/>
    <m/>
    <m/>
    <m/>
    <m/>
    <m/>
    <m/>
    <m/>
    <m/>
    <m/>
    <m/>
    <m/>
    <m/>
    <m/>
    <m/>
    <m/>
    <m/>
    <m/>
    <m/>
    <m/>
    <m/>
    <m/>
    <n v="0"/>
  </r>
  <r>
    <x v="11"/>
    <x v="16"/>
    <m/>
    <m/>
    <m/>
    <m/>
    <m/>
    <m/>
    <m/>
    <m/>
    <m/>
    <m/>
    <m/>
    <m/>
    <m/>
    <m/>
    <m/>
    <m/>
    <m/>
    <m/>
    <m/>
    <m/>
    <m/>
    <m/>
    <n v="0"/>
  </r>
  <r>
    <x v="11"/>
    <x v="17"/>
    <m/>
    <m/>
    <m/>
    <m/>
    <m/>
    <m/>
    <n v="6"/>
    <m/>
    <n v="2"/>
    <m/>
    <m/>
    <m/>
    <n v="9"/>
    <n v="4"/>
    <m/>
    <m/>
    <m/>
    <m/>
    <n v="6"/>
    <m/>
    <n v="5"/>
    <m/>
    <n v="32"/>
  </r>
  <r>
    <x v="11"/>
    <x v="18"/>
    <m/>
    <m/>
    <m/>
    <m/>
    <m/>
    <m/>
    <m/>
    <m/>
    <m/>
    <m/>
    <m/>
    <m/>
    <m/>
    <m/>
    <m/>
    <m/>
    <m/>
    <m/>
    <m/>
    <m/>
    <m/>
    <m/>
    <n v="0"/>
  </r>
  <r>
    <x v="11"/>
    <x v="19"/>
    <m/>
    <m/>
    <m/>
    <m/>
    <m/>
    <m/>
    <m/>
    <m/>
    <m/>
    <m/>
    <m/>
    <m/>
    <m/>
    <m/>
    <m/>
    <m/>
    <m/>
    <m/>
    <m/>
    <m/>
    <m/>
    <m/>
    <n v="0"/>
  </r>
  <r>
    <x v="11"/>
    <x v="21"/>
    <m/>
    <m/>
    <m/>
    <m/>
    <m/>
    <m/>
    <m/>
    <m/>
    <m/>
    <m/>
    <m/>
    <m/>
    <m/>
    <m/>
    <m/>
    <m/>
    <m/>
    <m/>
    <n v="1"/>
    <m/>
    <m/>
    <m/>
    <n v="1"/>
  </r>
  <r>
    <x v="11"/>
    <x v="22"/>
    <m/>
    <m/>
    <m/>
    <m/>
    <m/>
    <m/>
    <m/>
    <m/>
    <m/>
    <m/>
    <m/>
    <m/>
    <m/>
    <m/>
    <m/>
    <m/>
    <m/>
    <m/>
    <m/>
    <m/>
    <m/>
    <m/>
    <n v="0"/>
  </r>
  <r>
    <x v="11"/>
    <x v="23"/>
    <m/>
    <m/>
    <m/>
    <m/>
    <m/>
    <m/>
    <m/>
    <m/>
    <m/>
    <m/>
    <m/>
    <n v="2"/>
    <m/>
    <m/>
    <m/>
    <m/>
    <m/>
    <m/>
    <m/>
    <m/>
    <m/>
    <m/>
    <n v="2"/>
  </r>
  <r>
    <x v="11"/>
    <x v="25"/>
    <m/>
    <m/>
    <m/>
    <m/>
    <m/>
    <m/>
    <m/>
    <m/>
    <m/>
    <m/>
    <m/>
    <m/>
    <m/>
    <m/>
    <m/>
    <m/>
    <m/>
    <m/>
    <m/>
    <m/>
    <m/>
    <m/>
    <n v="0"/>
  </r>
  <r>
    <x v="11"/>
    <x v="26"/>
    <m/>
    <m/>
    <m/>
    <m/>
    <m/>
    <m/>
    <m/>
    <m/>
    <m/>
    <m/>
    <m/>
    <m/>
    <m/>
    <m/>
    <m/>
    <m/>
    <m/>
    <m/>
    <m/>
    <m/>
    <m/>
    <m/>
    <n v="0"/>
  </r>
  <r>
    <x v="11"/>
    <x v="65"/>
    <m/>
    <m/>
    <m/>
    <m/>
    <m/>
    <m/>
    <n v="3"/>
    <n v="1"/>
    <n v="1"/>
    <m/>
    <m/>
    <m/>
    <m/>
    <m/>
    <m/>
    <m/>
    <m/>
    <m/>
    <n v="1"/>
    <m/>
    <n v="1"/>
    <m/>
    <n v="7"/>
  </r>
  <r>
    <x v="11"/>
    <x v="27"/>
    <n v="2"/>
    <n v="2"/>
    <m/>
    <m/>
    <m/>
    <m/>
    <n v="10"/>
    <n v="10"/>
    <m/>
    <n v="2"/>
    <m/>
    <m/>
    <m/>
    <m/>
    <m/>
    <m/>
    <m/>
    <m/>
    <n v="10"/>
    <m/>
    <n v="4"/>
    <n v="1"/>
    <n v="40"/>
  </r>
  <r>
    <x v="11"/>
    <x v="28"/>
    <m/>
    <m/>
    <m/>
    <m/>
    <m/>
    <m/>
    <m/>
    <m/>
    <m/>
    <m/>
    <m/>
    <m/>
    <m/>
    <m/>
    <m/>
    <m/>
    <m/>
    <m/>
    <m/>
    <m/>
    <m/>
    <m/>
    <n v="0"/>
  </r>
  <r>
    <x v="11"/>
    <x v="29"/>
    <m/>
    <m/>
    <m/>
    <m/>
    <m/>
    <m/>
    <m/>
    <m/>
    <m/>
    <m/>
    <m/>
    <m/>
    <m/>
    <m/>
    <m/>
    <m/>
    <m/>
    <m/>
    <m/>
    <m/>
    <m/>
    <m/>
    <n v="0"/>
  </r>
  <r>
    <x v="11"/>
    <x v="30"/>
    <m/>
    <m/>
    <m/>
    <m/>
    <m/>
    <m/>
    <n v="10"/>
    <m/>
    <n v="10"/>
    <m/>
    <m/>
    <m/>
    <m/>
    <m/>
    <m/>
    <m/>
    <m/>
    <m/>
    <m/>
    <m/>
    <n v="10"/>
    <m/>
    <n v="30"/>
  </r>
  <r>
    <x v="11"/>
    <x v="31"/>
    <m/>
    <m/>
    <m/>
    <m/>
    <m/>
    <m/>
    <m/>
    <m/>
    <m/>
    <m/>
    <m/>
    <m/>
    <m/>
    <m/>
    <m/>
    <m/>
    <m/>
    <m/>
    <m/>
    <m/>
    <m/>
    <m/>
    <n v="0"/>
  </r>
  <r>
    <x v="11"/>
    <x v="32"/>
    <m/>
    <m/>
    <m/>
    <m/>
    <m/>
    <m/>
    <m/>
    <m/>
    <m/>
    <m/>
    <m/>
    <m/>
    <n v="4"/>
    <m/>
    <m/>
    <m/>
    <m/>
    <m/>
    <n v="4"/>
    <n v="4"/>
    <m/>
    <m/>
    <n v="12"/>
  </r>
  <r>
    <x v="11"/>
    <x v="33"/>
    <m/>
    <m/>
    <m/>
    <m/>
    <m/>
    <m/>
    <m/>
    <m/>
    <m/>
    <m/>
    <m/>
    <m/>
    <m/>
    <m/>
    <m/>
    <m/>
    <m/>
    <m/>
    <m/>
    <m/>
    <m/>
    <m/>
    <n v="0"/>
  </r>
  <r>
    <x v="11"/>
    <x v="34"/>
    <m/>
    <m/>
    <m/>
    <m/>
    <m/>
    <m/>
    <m/>
    <m/>
    <m/>
    <m/>
    <m/>
    <m/>
    <m/>
    <m/>
    <m/>
    <m/>
    <m/>
    <m/>
    <m/>
    <m/>
    <m/>
    <m/>
    <n v="0"/>
  </r>
  <r>
    <x v="11"/>
    <x v="66"/>
    <m/>
    <m/>
    <m/>
    <m/>
    <m/>
    <m/>
    <m/>
    <m/>
    <m/>
    <m/>
    <m/>
    <m/>
    <m/>
    <m/>
    <m/>
    <m/>
    <m/>
    <m/>
    <m/>
    <m/>
    <m/>
    <m/>
    <n v="0"/>
  </r>
  <r>
    <x v="11"/>
    <x v="36"/>
    <n v="8"/>
    <n v="4"/>
    <n v="5"/>
    <n v="2"/>
    <n v="2"/>
    <n v="2"/>
    <n v="31"/>
    <n v="30"/>
    <n v="35"/>
    <n v="4"/>
    <n v="1"/>
    <n v="1"/>
    <n v="12"/>
    <n v="10"/>
    <n v="2"/>
    <n v="5"/>
    <m/>
    <n v="1"/>
    <n v="16"/>
    <n v="13"/>
    <n v="29"/>
    <m/>
    <n v="213"/>
  </r>
  <r>
    <x v="11"/>
    <x v="37"/>
    <m/>
    <m/>
    <m/>
    <m/>
    <m/>
    <m/>
    <n v="1"/>
    <n v="1"/>
    <m/>
    <m/>
    <m/>
    <m/>
    <m/>
    <m/>
    <m/>
    <m/>
    <m/>
    <n v="1"/>
    <m/>
    <m/>
    <m/>
    <m/>
    <n v="3"/>
  </r>
  <r>
    <x v="11"/>
    <x v="38"/>
    <m/>
    <m/>
    <m/>
    <m/>
    <m/>
    <m/>
    <m/>
    <m/>
    <m/>
    <m/>
    <m/>
    <m/>
    <m/>
    <m/>
    <m/>
    <m/>
    <m/>
    <m/>
    <m/>
    <m/>
    <m/>
    <m/>
    <n v="0"/>
  </r>
  <r>
    <x v="11"/>
    <x v="39"/>
    <m/>
    <m/>
    <m/>
    <m/>
    <m/>
    <m/>
    <m/>
    <m/>
    <m/>
    <m/>
    <m/>
    <m/>
    <m/>
    <m/>
    <m/>
    <m/>
    <m/>
    <m/>
    <m/>
    <n v="1"/>
    <m/>
    <m/>
    <n v="1"/>
  </r>
  <r>
    <x v="11"/>
    <x v="40"/>
    <m/>
    <m/>
    <m/>
    <m/>
    <m/>
    <m/>
    <m/>
    <m/>
    <m/>
    <m/>
    <m/>
    <m/>
    <m/>
    <m/>
    <m/>
    <m/>
    <m/>
    <m/>
    <m/>
    <m/>
    <m/>
    <m/>
    <n v="0"/>
  </r>
  <r>
    <x v="11"/>
    <x v="41"/>
    <m/>
    <m/>
    <m/>
    <m/>
    <m/>
    <m/>
    <m/>
    <m/>
    <m/>
    <m/>
    <m/>
    <m/>
    <m/>
    <m/>
    <m/>
    <m/>
    <m/>
    <m/>
    <m/>
    <m/>
    <m/>
    <m/>
    <n v="0"/>
  </r>
  <r>
    <x v="11"/>
    <x v="43"/>
    <n v="2"/>
    <m/>
    <m/>
    <m/>
    <m/>
    <m/>
    <n v="6"/>
    <n v="3"/>
    <n v="4"/>
    <m/>
    <m/>
    <m/>
    <n v="7"/>
    <n v="7"/>
    <m/>
    <n v="5"/>
    <m/>
    <n v="5"/>
    <n v="8"/>
    <n v="7"/>
    <n v="2"/>
    <n v="3"/>
    <n v="59"/>
  </r>
  <r>
    <x v="11"/>
    <x v="44"/>
    <m/>
    <m/>
    <m/>
    <m/>
    <m/>
    <m/>
    <m/>
    <m/>
    <m/>
    <m/>
    <m/>
    <m/>
    <m/>
    <m/>
    <m/>
    <m/>
    <m/>
    <m/>
    <m/>
    <m/>
    <m/>
    <m/>
    <n v="0"/>
  </r>
  <r>
    <x v="11"/>
    <x v="45"/>
    <m/>
    <m/>
    <m/>
    <m/>
    <m/>
    <m/>
    <m/>
    <m/>
    <m/>
    <m/>
    <m/>
    <m/>
    <m/>
    <m/>
    <m/>
    <m/>
    <m/>
    <m/>
    <m/>
    <m/>
    <m/>
    <m/>
    <n v="0"/>
  </r>
  <r>
    <x v="11"/>
    <x v="46"/>
    <m/>
    <m/>
    <m/>
    <m/>
    <m/>
    <m/>
    <m/>
    <m/>
    <m/>
    <m/>
    <m/>
    <m/>
    <m/>
    <m/>
    <m/>
    <m/>
    <m/>
    <n v="1"/>
    <m/>
    <n v="1"/>
    <m/>
    <m/>
    <n v="2"/>
  </r>
  <r>
    <x v="11"/>
    <x v="79"/>
    <m/>
    <m/>
    <m/>
    <m/>
    <m/>
    <m/>
    <n v="30"/>
    <n v="9"/>
    <n v="9"/>
    <m/>
    <m/>
    <m/>
    <n v="50"/>
    <n v="20"/>
    <n v="20"/>
    <m/>
    <m/>
    <m/>
    <n v="20"/>
    <n v="30"/>
    <n v="30"/>
    <m/>
    <n v="218"/>
  </r>
  <r>
    <x v="11"/>
    <x v="80"/>
    <m/>
    <m/>
    <m/>
    <m/>
    <m/>
    <m/>
    <m/>
    <m/>
    <m/>
    <m/>
    <n v="2"/>
    <n v="2"/>
    <n v="2"/>
    <n v="2"/>
    <n v="2"/>
    <m/>
    <m/>
    <m/>
    <n v="2"/>
    <m/>
    <m/>
    <m/>
    <n v="12"/>
  </r>
  <r>
    <x v="11"/>
    <x v="81"/>
    <m/>
    <m/>
    <m/>
    <m/>
    <m/>
    <m/>
    <m/>
    <m/>
    <n v="2"/>
    <m/>
    <n v="2"/>
    <n v="2"/>
    <n v="2"/>
    <n v="2"/>
    <n v="2"/>
    <m/>
    <m/>
    <m/>
    <n v="2"/>
    <n v="2"/>
    <m/>
    <m/>
    <n v="16"/>
  </r>
  <r>
    <x v="11"/>
    <x v="82"/>
    <n v="2"/>
    <n v="1"/>
    <n v="1"/>
    <n v="1"/>
    <n v="1"/>
    <n v="1"/>
    <n v="30"/>
    <n v="30"/>
    <n v="35"/>
    <m/>
    <m/>
    <m/>
    <n v="35"/>
    <n v="31"/>
    <n v="31"/>
    <m/>
    <m/>
    <m/>
    <n v="34"/>
    <m/>
    <n v="38"/>
    <n v="1"/>
    <n v="271"/>
  </r>
  <r>
    <x v="11"/>
    <x v="83"/>
    <m/>
    <m/>
    <m/>
    <m/>
    <m/>
    <m/>
    <n v="2"/>
    <n v="1"/>
    <m/>
    <m/>
    <m/>
    <m/>
    <m/>
    <m/>
    <m/>
    <m/>
    <m/>
    <m/>
    <m/>
    <m/>
    <n v="1"/>
    <m/>
    <n v="4"/>
  </r>
  <r>
    <x v="11"/>
    <x v="84"/>
    <m/>
    <m/>
    <m/>
    <m/>
    <m/>
    <m/>
    <m/>
    <m/>
    <m/>
    <m/>
    <m/>
    <m/>
    <m/>
    <m/>
    <m/>
    <m/>
    <m/>
    <m/>
    <m/>
    <m/>
    <m/>
    <m/>
    <n v="0"/>
  </r>
  <r>
    <x v="11"/>
    <x v="85"/>
    <m/>
    <m/>
    <m/>
    <m/>
    <m/>
    <m/>
    <n v="1"/>
    <m/>
    <m/>
    <m/>
    <m/>
    <m/>
    <m/>
    <m/>
    <m/>
    <n v="5"/>
    <m/>
    <m/>
    <n v="5"/>
    <m/>
    <n v="6"/>
    <m/>
    <n v="17"/>
  </r>
  <r>
    <x v="11"/>
    <x v="86"/>
    <m/>
    <m/>
    <m/>
    <m/>
    <m/>
    <m/>
    <n v="26"/>
    <n v="2"/>
    <n v="10"/>
    <m/>
    <m/>
    <m/>
    <n v="3"/>
    <m/>
    <m/>
    <m/>
    <m/>
    <m/>
    <n v="6"/>
    <m/>
    <n v="15"/>
    <m/>
    <n v="62"/>
  </r>
  <r>
    <x v="11"/>
    <x v="87"/>
    <m/>
    <m/>
    <m/>
    <m/>
    <m/>
    <m/>
    <n v="28"/>
    <n v="2"/>
    <m/>
    <m/>
    <m/>
    <m/>
    <n v="25"/>
    <m/>
    <m/>
    <m/>
    <m/>
    <m/>
    <m/>
    <m/>
    <n v="25"/>
    <m/>
    <n v="80"/>
  </r>
  <r>
    <x v="11"/>
    <x v="55"/>
    <m/>
    <m/>
    <m/>
    <m/>
    <m/>
    <m/>
    <n v="30"/>
    <m/>
    <m/>
    <m/>
    <m/>
    <m/>
    <n v="30"/>
    <n v="30"/>
    <m/>
    <m/>
    <m/>
    <m/>
    <n v="30"/>
    <m/>
    <n v="30"/>
    <m/>
    <n v="150"/>
  </r>
  <r>
    <x v="11"/>
    <x v="88"/>
    <n v="30"/>
    <m/>
    <m/>
    <m/>
    <n v="30"/>
    <m/>
    <n v="30"/>
    <n v="30"/>
    <n v="30"/>
    <m/>
    <m/>
    <m/>
    <n v="30"/>
    <m/>
    <m/>
    <m/>
    <m/>
    <m/>
    <n v="30"/>
    <m/>
    <n v="30"/>
    <n v="30"/>
    <n v="270"/>
  </r>
  <r>
    <x v="11"/>
    <x v="68"/>
    <m/>
    <n v="3"/>
    <m/>
    <n v="3"/>
    <m/>
    <n v="3"/>
    <n v="24"/>
    <m/>
    <m/>
    <m/>
    <m/>
    <m/>
    <n v="24"/>
    <m/>
    <m/>
    <m/>
    <m/>
    <m/>
    <m/>
    <m/>
    <n v="24"/>
    <m/>
    <n v="81"/>
  </r>
  <r>
    <x v="11"/>
    <x v="89"/>
    <m/>
    <m/>
    <m/>
    <m/>
    <m/>
    <m/>
    <n v="8"/>
    <n v="1"/>
    <m/>
    <m/>
    <m/>
    <m/>
    <n v="9"/>
    <m/>
    <m/>
    <n v="2"/>
    <n v="2"/>
    <n v="2"/>
    <n v="4"/>
    <n v="4"/>
    <n v="27"/>
    <n v="6"/>
    <n v="65"/>
  </r>
  <r>
    <x v="11"/>
    <x v="62"/>
    <m/>
    <m/>
    <m/>
    <m/>
    <m/>
    <m/>
    <m/>
    <m/>
    <m/>
    <m/>
    <m/>
    <m/>
    <m/>
    <m/>
    <m/>
    <m/>
    <m/>
    <m/>
    <n v="8"/>
    <m/>
    <n v="8"/>
    <n v="9"/>
    <n v="24"/>
  </r>
  <r>
    <x v="11"/>
    <x v="67"/>
    <m/>
    <m/>
    <m/>
    <m/>
    <m/>
    <m/>
    <m/>
    <n v="3"/>
    <n v="3"/>
    <m/>
    <m/>
    <m/>
    <n v="3"/>
    <n v="2"/>
    <m/>
    <m/>
    <m/>
    <m/>
    <n v="1"/>
    <m/>
    <n v="1"/>
    <n v="1"/>
    <n v="14"/>
  </r>
  <r>
    <x v="11"/>
    <x v="90"/>
    <m/>
    <m/>
    <m/>
    <m/>
    <n v="3"/>
    <m/>
    <n v="1"/>
    <m/>
    <m/>
    <n v="3"/>
    <m/>
    <m/>
    <m/>
    <m/>
    <m/>
    <m/>
    <m/>
    <m/>
    <n v="1"/>
    <m/>
    <m/>
    <m/>
    <n v="8"/>
  </r>
  <r>
    <x v="12"/>
    <x v="58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59"/>
    <m/>
    <m/>
    <m/>
    <m/>
    <m/>
    <m/>
    <m/>
    <m/>
    <m/>
    <m/>
    <n v="20"/>
    <n v="20"/>
    <m/>
    <n v="20"/>
    <n v="20"/>
    <n v="20"/>
    <n v="20"/>
    <n v="20"/>
    <m/>
    <n v="20"/>
    <m/>
    <n v="30"/>
    <n v="190"/>
  </r>
  <r>
    <x v="12"/>
    <x v="60"/>
    <m/>
    <m/>
    <m/>
    <m/>
    <m/>
    <m/>
    <m/>
    <m/>
    <m/>
    <m/>
    <n v="15"/>
    <n v="60"/>
    <m/>
    <n v="15"/>
    <n v="70"/>
    <n v="7"/>
    <n v="25"/>
    <n v="7"/>
    <m/>
    <n v="35"/>
    <m/>
    <n v="5"/>
    <n v="239"/>
  </r>
  <r>
    <x v="12"/>
    <x v="61"/>
    <m/>
    <m/>
    <m/>
    <m/>
    <m/>
    <m/>
    <m/>
    <m/>
    <m/>
    <m/>
    <n v="30"/>
    <m/>
    <m/>
    <n v="10"/>
    <n v="100"/>
    <n v="5"/>
    <n v="10"/>
    <n v="5"/>
    <m/>
    <n v="25"/>
    <m/>
    <m/>
    <n v="185"/>
  </r>
  <r>
    <x v="12"/>
    <x v="62"/>
    <m/>
    <m/>
    <m/>
    <m/>
    <m/>
    <m/>
    <m/>
    <m/>
    <m/>
    <m/>
    <m/>
    <m/>
    <m/>
    <m/>
    <m/>
    <m/>
    <m/>
    <m/>
    <m/>
    <m/>
    <m/>
    <m/>
    <n v="0"/>
  </r>
  <r>
    <x v="12"/>
    <x v="63"/>
    <m/>
    <m/>
    <m/>
    <m/>
    <m/>
    <m/>
    <m/>
    <m/>
    <m/>
    <m/>
    <m/>
    <m/>
    <m/>
    <n v="10"/>
    <n v="10"/>
    <n v="10"/>
    <n v="10"/>
    <m/>
    <m/>
    <n v="10"/>
    <m/>
    <n v="10"/>
    <n v="60"/>
  </r>
  <r>
    <x v="12"/>
    <x v="1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2"/>
    <n v="1"/>
    <n v="4"/>
    <n v="0"/>
    <n v="2"/>
    <n v="2"/>
    <n v="15"/>
    <n v="15"/>
    <n v="12"/>
    <n v="10"/>
    <n v="5"/>
    <n v="25"/>
    <n v="25"/>
    <n v="4"/>
    <m/>
    <m/>
    <n v="25"/>
    <m/>
    <m/>
    <n v="4"/>
    <n v="15"/>
    <n v="4"/>
    <n v="3"/>
    <n v="171"/>
  </r>
  <r>
    <x v="12"/>
    <x v="3"/>
    <m/>
    <m/>
    <m/>
    <m/>
    <m/>
    <m/>
    <m/>
    <m/>
    <m/>
    <m/>
    <m/>
    <m/>
    <m/>
    <m/>
    <m/>
    <m/>
    <m/>
    <m/>
    <m/>
    <m/>
    <m/>
    <m/>
    <n v="0"/>
  </r>
  <r>
    <x v="12"/>
    <x v="4"/>
    <m/>
    <m/>
    <m/>
    <m/>
    <m/>
    <m/>
    <m/>
    <m/>
    <m/>
    <m/>
    <m/>
    <n v="30"/>
    <m/>
    <n v="30"/>
    <n v="30"/>
    <m/>
    <n v="30"/>
    <m/>
    <m/>
    <n v="30"/>
    <m/>
    <m/>
    <n v="150"/>
  </r>
  <r>
    <x v="12"/>
    <x v="5"/>
    <m/>
    <m/>
    <m/>
    <m/>
    <m/>
    <m/>
    <m/>
    <m/>
    <m/>
    <m/>
    <n v="30"/>
    <n v="30"/>
    <m/>
    <n v="30"/>
    <n v="60"/>
    <n v="30"/>
    <n v="30"/>
    <n v="30"/>
    <m/>
    <n v="20"/>
    <m/>
    <n v="30"/>
    <n v="290"/>
  </r>
  <r>
    <x v="12"/>
    <x v="6"/>
    <m/>
    <m/>
    <m/>
    <m/>
    <m/>
    <m/>
    <m/>
    <m/>
    <m/>
    <m/>
    <n v="5"/>
    <n v="5"/>
    <m/>
    <n v="8"/>
    <n v="8"/>
    <n v="5"/>
    <n v="5"/>
    <n v="5"/>
    <m/>
    <n v="5"/>
    <m/>
    <n v="1"/>
    <n v="47"/>
  </r>
  <r>
    <x v="12"/>
    <x v="8"/>
    <m/>
    <m/>
    <m/>
    <m/>
    <m/>
    <m/>
    <m/>
    <m/>
    <m/>
    <m/>
    <m/>
    <n v="30"/>
    <m/>
    <m/>
    <n v="30"/>
    <m/>
    <n v="30"/>
    <m/>
    <m/>
    <n v="30"/>
    <m/>
    <m/>
    <n v="120"/>
  </r>
  <r>
    <x v="12"/>
    <x v="64"/>
    <m/>
    <m/>
    <m/>
    <m/>
    <m/>
    <m/>
    <m/>
    <m/>
    <m/>
    <m/>
    <m/>
    <n v="30"/>
    <m/>
    <n v="30"/>
    <n v="30"/>
    <n v="30"/>
    <m/>
    <m/>
    <m/>
    <n v="30"/>
    <m/>
    <m/>
    <n v="150"/>
  </r>
  <r>
    <x v="12"/>
    <x v="9"/>
    <n v="4"/>
    <m/>
    <n v="3"/>
    <m/>
    <n v="2"/>
    <m/>
    <m/>
    <m/>
    <m/>
    <m/>
    <m/>
    <n v="42"/>
    <m/>
    <n v="5"/>
    <n v="1"/>
    <n v="5"/>
    <n v="5"/>
    <n v="5"/>
    <m/>
    <n v="7"/>
    <m/>
    <n v="6"/>
    <n v="85"/>
  </r>
  <r>
    <x v="12"/>
    <x v="10"/>
    <m/>
    <m/>
    <m/>
    <m/>
    <m/>
    <m/>
    <m/>
    <m/>
    <m/>
    <m/>
    <n v="80"/>
    <m/>
    <m/>
    <m/>
    <m/>
    <m/>
    <n v="5"/>
    <n v="5"/>
    <m/>
    <m/>
    <m/>
    <n v="1"/>
    <n v="91"/>
  </r>
  <r>
    <x v="12"/>
    <x v="11"/>
    <m/>
    <m/>
    <m/>
    <m/>
    <m/>
    <m/>
    <m/>
    <m/>
    <m/>
    <m/>
    <m/>
    <m/>
    <m/>
    <m/>
    <m/>
    <m/>
    <n v="5"/>
    <n v="5"/>
    <m/>
    <m/>
    <m/>
    <n v="2"/>
    <n v="12"/>
  </r>
  <r>
    <x v="12"/>
    <x v="12"/>
    <m/>
    <m/>
    <m/>
    <m/>
    <m/>
    <m/>
    <m/>
    <m/>
    <m/>
    <m/>
    <m/>
    <n v="30"/>
    <m/>
    <m/>
    <n v="30"/>
    <m/>
    <n v="30"/>
    <m/>
    <m/>
    <n v="30"/>
    <m/>
    <m/>
    <n v="120"/>
  </r>
  <r>
    <x v="12"/>
    <x v="13"/>
    <m/>
    <m/>
    <m/>
    <m/>
    <m/>
    <m/>
    <m/>
    <m/>
    <m/>
    <m/>
    <m/>
    <n v="13"/>
    <m/>
    <n v="13"/>
    <m/>
    <m/>
    <m/>
    <m/>
    <m/>
    <m/>
    <m/>
    <m/>
    <n v="26"/>
  </r>
  <r>
    <x v="12"/>
    <x v="14"/>
    <m/>
    <m/>
    <m/>
    <m/>
    <m/>
    <m/>
    <m/>
    <m/>
    <m/>
    <m/>
    <m/>
    <m/>
    <m/>
    <m/>
    <m/>
    <m/>
    <m/>
    <m/>
    <m/>
    <m/>
    <m/>
    <n v="3"/>
    <n v="3"/>
  </r>
  <r>
    <x v="12"/>
    <x v="15"/>
    <m/>
    <m/>
    <m/>
    <m/>
    <m/>
    <m/>
    <m/>
    <m/>
    <m/>
    <m/>
    <m/>
    <n v="15"/>
    <m/>
    <m/>
    <m/>
    <n v="2"/>
    <n v="2"/>
    <n v="2"/>
    <m/>
    <n v="14"/>
    <m/>
    <m/>
    <n v="35"/>
  </r>
  <r>
    <x v="12"/>
    <x v="16"/>
    <m/>
    <m/>
    <m/>
    <m/>
    <m/>
    <m/>
    <m/>
    <m/>
    <m/>
    <m/>
    <m/>
    <m/>
    <m/>
    <m/>
    <m/>
    <m/>
    <m/>
    <m/>
    <m/>
    <m/>
    <m/>
    <m/>
    <n v="0"/>
  </r>
  <r>
    <x v="12"/>
    <x v="17"/>
    <m/>
    <m/>
    <m/>
    <m/>
    <m/>
    <m/>
    <m/>
    <m/>
    <m/>
    <m/>
    <n v="40"/>
    <m/>
    <m/>
    <m/>
    <m/>
    <m/>
    <m/>
    <m/>
    <m/>
    <m/>
    <m/>
    <n v="1"/>
    <n v="41"/>
  </r>
  <r>
    <x v="12"/>
    <x v="18"/>
    <m/>
    <m/>
    <m/>
    <m/>
    <m/>
    <m/>
    <m/>
    <m/>
    <m/>
    <m/>
    <m/>
    <m/>
    <m/>
    <m/>
    <m/>
    <m/>
    <m/>
    <m/>
    <m/>
    <m/>
    <m/>
    <m/>
    <n v="0"/>
  </r>
  <r>
    <x v="12"/>
    <x v="19"/>
    <n v="3"/>
    <m/>
    <n v="3"/>
    <m/>
    <n v="2"/>
    <m/>
    <n v="4"/>
    <m/>
    <m/>
    <n v="5"/>
    <n v="9"/>
    <m/>
    <m/>
    <n v="10"/>
    <m/>
    <n v="5"/>
    <m/>
    <n v="5"/>
    <n v="17"/>
    <n v="12"/>
    <n v="5"/>
    <n v="5"/>
    <n v="85"/>
  </r>
  <r>
    <x v="12"/>
    <x v="21"/>
    <m/>
    <m/>
    <m/>
    <m/>
    <m/>
    <m/>
    <m/>
    <m/>
    <m/>
    <m/>
    <n v="40"/>
    <m/>
    <m/>
    <m/>
    <m/>
    <n v="5"/>
    <m/>
    <n v="5"/>
    <m/>
    <m/>
    <m/>
    <m/>
    <n v="50"/>
  </r>
  <r>
    <x v="12"/>
    <x v="22"/>
    <m/>
    <m/>
    <m/>
    <m/>
    <m/>
    <m/>
    <m/>
    <m/>
    <m/>
    <m/>
    <m/>
    <m/>
    <m/>
    <m/>
    <m/>
    <m/>
    <n v="5"/>
    <n v="5"/>
    <m/>
    <m/>
    <m/>
    <m/>
    <n v="10"/>
  </r>
  <r>
    <x v="12"/>
    <x v="23"/>
    <n v="5"/>
    <n v="5"/>
    <n v="5"/>
    <n v="5"/>
    <n v="5"/>
    <n v="5"/>
    <m/>
    <m/>
    <m/>
    <m/>
    <m/>
    <m/>
    <m/>
    <m/>
    <m/>
    <m/>
    <m/>
    <m/>
    <m/>
    <m/>
    <m/>
    <n v="10"/>
    <n v="40"/>
  </r>
  <r>
    <x v="12"/>
    <x v="25"/>
    <m/>
    <m/>
    <m/>
    <m/>
    <m/>
    <m/>
    <m/>
    <m/>
    <m/>
    <m/>
    <m/>
    <m/>
    <m/>
    <m/>
    <m/>
    <m/>
    <m/>
    <m/>
    <m/>
    <m/>
    <m/>
    <n v="15"/>
    <n v="15"/>
  </r>
  <r>
    <x v="12"/>
    <x v="26"/>
    <m/>
    <m/>
    <m/>
    <m/>
    <m/>
    <m/>
    <m/>
    <m/>
    <m/>
    <m/>
    <m/>
    <n v="30"/>
    <m/>
    <n v="0"/>
    <n v="30"/>
    <m/>
    <n v="30"/>
    <m/>
    <m/>
    <n v="30"/>
    <m/>
    <m/>
    <n v="120"/>
  </r>
  <r>
    <x v="12"/>
    <x v="65"/>
    <m/>
    <m/>
    <m/>
    <m/>
    <m/>
    <m/>
    <m/>
    <m/>
    <m/>
    <m/>
    <m/>
    <n v="30"/>
    <m/>
    <n v="90"/>
    <n v="30"/>
    <m/>
    <n v="30"/>
    <m/>
    <m/>
    <n v="30"/>
    <m/>
    <m/>
    <n v="210"/>
  </r>
  <r>
    <x v="12"/>
    <x v="27"/>
    <m/>
    <m/>
    <m/>
    <m/>
    <m/>
    <m/>
    <m/>
    <m/>
    <m/>
    <m/>
    <n v="30"/>
    <n v="30"/>
    <m/>
    <n v="30"/>
    <n v="30"/>
    <n v="30"/>
    <n v="30"/>
    <n v="30"/>
    <m/>
    <n v="30"/>
    <m/>
    <n v="30"/>
    <n v="270"/>
  </r>
  <r>
    <x v="12"/>
    <x v="28"/>
    <m/>
    <m/>
    <m/>
    <m/>
    <m/>
    <m/>
    <m/>
    <m/>
    <m/>
    <m/>
    <n v="20"/>
    <m/>
    <m/>
    <m/>
    <m/>
    <n v="5"/>
    <m/>
    <n v="5"/>
    <m/>
    <m/>
    <m/>
    <m/>
    <n v="30"/>
  </r>
  <r>
    <x v="12"/>
    <x v="29"/>
    <m/>
    <m/>
    <m/>
    <m/>
    <m/>
    <m/>
    <m/>
    <m/>
    <m/>
    <m/>
    <m/>
    <n v="30"/>
    <m/>
    <n v="30"/>
    <n v="30"/>
    <m/>
    <n v="30"/>
    <m/>
    <m/>
    <n v="30"/>
    <m/>
    <m/>
    <n v="150"/>
  </r>
  <r>
    <x v="12"/>
    <x v="30"/>
    <n v="1"/>
    <n v="23"/>
    <n v="1"/>
    <n v="11"/>
    <n v="6"/>
    <n v="10"/>
    <n v="24"/>
    <n v="47"/>
    <n v="20"/>
    <m/>
    <n v="24"/>
    <m/>
    <n v="15"/>
    <n v="11"/>
    <n v="95"/>
    <n v="17"/>
    <n v="3"/>
    <n v="12"/>
    <n v="5"/>
    <n v="21"/>
    <n v="89"/>
    <n v="25"/>
    <n v="460"/>
  </r>
  <r>
    <x v="12"/>
    <x v="31"/>
    <m/>
    <m/>
    <m/>
    <m/>
    <m/>
    <m/>
    <m/>
    <m/>
    <m/>
    <m/>
    <m/>
    <n v="20"/>
    <m/>
    <m/>
    <m/>
    <n v="5"/>
    <n v="5"/>
    <n v="5"/>
    <m/>
    <m/>
    <m/>
    <m/>
    <n v="35"/>
  </r>
  <r>
    <x v="12"/>
    <x v="32"/>
    <m/>
    <m/>
    <m/>
    <m/>
    <m/>
    <m/>
    <m/>
    <m/>
    <m/>
    <m/>
    <m/>
    <m/>
    <m/>
    <m/>
    <m/>
    <m/>
    <m/>
    <m/>
    <m/>
    <m/>
    <m/>
    <m/>
    <n v="0"/>
  </r>
  <r>
    <x v="12"/>
    <x v="33"/>
    <m/>
    <m/>
    <m/>
    <m/>
    <m/>
    <m/>
    <m/>
    <m/>
    <m/>
    <m/>
    <m/>
    <m/>
    <m/>
    <n v="4"/>
    <n v="4"/>
    <n v="4"/>
    <n v="4"/>
    <n v="2"/>
    <m/>
    <n v="4"/>
    <m/>
    <n v="2"/>
    <n v="24"/>
  </r>
  <r>
    <x v="12"/>
    <x v="34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66"/>
    <m/>
    <m/>
    <m/>
    <m/>
    <m/>
    <m/>
    <m/>
    <m/>
    <m/>
    <m/>
    <m/>
    <m/>
    <m/>
    <m/>
    <m/>
    <m/>
    <m/>
    <m/>
    <m/>
    <m/>
    <m/>
    <m/>
    <n v="0"/>
  </r>
  <r>
    <x v="12"/>
    <x v="36"/>
    <m/>
    <n v="1"/>
    <m/>
    <n v="1"/>
    <m/>
    <m/>
    <m/>
    <m/>
    <m/>
    <m/>
    <n v="5"/>
    <n v="5"/>
    <m/>
    <n v="10"/>
    <n v="22"/>
    <n v="10"/>
    <n v="5"/>
    <n v="5"/>
    <m/>
    <n v="12"/>
    <m/>
    <n v="9"/>
    <n v="85"/>
  </r>
  <r>
    <x v="12"/>
    <x v="37"/>
    <m/>
    <m/>
    <m/>
    <m/>
    <m/>
    <m/>
    <m/>
    <m/>
    <m/>
    <m/>
    <n v="20"/>
    <n v="20"/>
    <m/>
    <n v="20"/>
    <n v="20"/>
    <n v="20"/>
    <n v="20"/>
    <n v="20"/>
    <m/>
    <n v="20"/>
    <m/>
    <n v="10"/>
    <n v="170"/>
  </r>
  <r>
    <x v="12"/>
    <x v="38"/>
    <m/>
    <m/>
    <m/>
    <m/>
    <m/>
    <m/>
    <m/>
    <m/>
    <m/>
    <m/>
    <m/>
    <m/>
    <m/>
    <m/>
    <m/>
    <m/>
    <m/>
    <m/>
    <m/>
    <m/>
    <m/>
    <m/>
    <n v="0"/>
  </r>
  <r>
    <x v="12"/>
    <x v="39"/>
    <m/>
    <m/>
    <m/>
    <m/>
    <m/>
    <m/>
    <m/>
    <m/>
    <m/>
    <m/>
    <m/>
    <m/>
    <m/>
    <m/>
    <m/>
    <m/>
    <m/>
    <m/>
    <m/>
    <m/>
    <m/>
    <m/>
    <n v="0"/>
  </r>
  <r>
    <x v="12"/>
    <x v="40"/>
    <m/>
    <m/>
    <m/>
    <m/>
    <m/>
    <m/>
    <m/>
    <m/>
    <m/>
    <m/>
    <m/>
    <m/>
    <m/>
    <n v="15"/>
    <n v="15"/>
    <m/>
    <m/>
    <m/>
    <m/>
    <m/>
    <m/>
    <m/>
    <n v="30"/>
  </r>
  <r>
    <x v="12"/>
    <x v="41"/>
    <m/>
    <m/>
    <m/>
    <m/>
    <m/>
    <m/>
    <m/>
    <m/>
    <m/>
    <m/>
    <n v="20"/>
    <n v="20"/>
    <m/>
    <n v="20"/>
    <n v="60"/>
    <n v="20"/>
    <n v="20"/>
    <n v="20"/>
    <m/>
    <n v="20"/>
    <m/>
    <n v="10"/>
    <n v="210"/>
  </r>
  <r>
    <x v="12"/>
    <x v="43"/>
    <m/>
    <m/>
    <m/>
    <m/>
    <m/>
    <m/>
    <m/>
    <m/>
    <m/>
    <m/>
    <m/>
    <n v="30"/>
    <m/>
    <m/>
    <n v="30"/>
    <m/>
    <m/>
    <m/>
    <m/>
    <n v="30"/>
    <m/>
    <m/>
    <n v="90"/>
  </r>
  <r>
    <x v="12"/>
    <x v="44"/>
    <m/>
    <m/>
    <m/>
    <m/>
    <m/>
    <m/>
    <m/>
    <m/>
    <m/>
    <m/>
    <m/>
    <m/>
    <m/>
    <m/>
    <m/>
    <m/>
    <m/>
    <m/>
    <m/>
    <m/>
    <m/>
    <m/>
    <n v="0"/>
  </r>
  <r>
    <x v="12"/>
    <x v="45"/>
    <m/>
    <m/>
    <m/>
    <m/>
    <m/>
    <m/>
    <m/>
    <m/>
    <m/>
    <m/>
    <n v="5"/>
    <n v="5"/>
    <m/>
    <n v="8"/>
    <n v="5"/>
    <n v="5"/>
    <n v="5"/>
    <n v="5"/>
    <m/>
    <n v="5"/>
    <m/>
    <n v="1"/>
    <n v="44"/>
  </r>
  <r>
    <x v="12"/>
    <x v="46"/>
    <m/>
    <m/>
    <m/>
    <m/>
    <m/>
    <m/>
    <m/>
    <m/>
    <m/>
    <m/>
    <n v="20"/>
    <n v="20"/>
    <m/>
    <n v="20"/>
    <n v="20"/>
    <n v="20"/>
    <n v="20"/>
    <n v="20"/>
    <m/>
    <n v="20"/>
    <m/>
    <n v="10"/>
    <n v="170"/>
  </r>
  <r>
    <x v="12"/>
    <x v="91"/>
    <s v=" "/>
    <m/>
    <m/>
    <m/>
    <m/>
    <m/>
    <m/>
    <m/>
    <m/>
    <m/>
    <n v="10"/>
    <n v="10"/>
    <m/>
    <n v="5"/>
    <n v="5"/>
    <n v="10"/>
    <n v="10"/>
    <n v="10"/>
    <m/>
    <n v="10"/>
    <m/>
    <n v="5"/>
    <n v="75"/>
  </r>
  <r>
    <x v="12"/>
    <x v="92"/>
    <s v=" "/>
    <m/>
    <m/>
    <m/>
    <m/>
    <m/>
    <m/>
    <m/>
    <m/>
    <m/>
    <m/>
    <n v="30"/>
    <m/>
    <m/>
    <m/>
    <m/>
    <m/>
    <m/>
    <m/>
    <m/>
    <m/>
    <m/>
    <n v="30"/>
  </r>
  <r>
    <x v="12"/>
    <x v="93"/>
    <s v=" "/>
    <m/>
    <m/>
    <m/>
    <m/>
    <m/>
    <m/>
    <m/>
    <m/>
    <m/>
    <m/>
    <n v="30"/>
    <m/>
    <m/>
    <m/>
    <m/>
    <m/>
    <m/>
    <m/>
    <m/>
    <m/>
    <m/>
    <n v="30"/>
  </r>
  <r>
    <x v="12"/>
    <x v="94"/>
    <s v=" "/>
    <m/>
    <m/>
    <m/>
    <m/>
    <m/>
    <m/>
    <m/>
    <m/>
    <m/>
    <m/>
    <n v="30"/>
    <m/>
    <m/>
    <m/>
    <m/>
    <m/>
    <m/>
    <m/>
    <m/>
    <m/>
    <m/>
    <n v="30"/>
  </r>
  <r>
    <x v="12"/>
    <x v="95"/>
    <s v=" "/>
    <m/>
    <m/>
    <m/>
    <m/>
    <m/>
    <m/>
    <m/>
    <m/>
    <m/>
    <m/>
    <n v="30"/>
    <m/>
    <m/>
    <m/>
    <m/>
    <m/>
    <m/>
    <m/>
    <m/>
    <m/>
    <m/>
    <n v="30"/>
  </r>
  <r>
    <x v="12"/>
    <x v="96"/>
    <s v=" "/>
    <m/>
    <m/>
    <m/>
    <m/>
    <m/>
    <m/>
    <m/>
    <m/>
    <m/>
    <n v="35"/>
    <m/>
    <m/>
    <n v="4"/>
    <n v="31"/>
    <n v="3"/>
    <m/>
    <m/>
    <m/>
    <m/>
    <m/>
    <n v="3"/>
    <n v="76"/>
  </r>
  <r>
    <x v="12"/>
    <x v="97"/>
    <s v=" "/>
    <m/>
    <m/>
    <m/>
    <m/>
    <m/>
    <m/>
    <m/>
    <m/>
    <m/>
    <m/>
    <m/>
    <m/>
    <m/>
    <m/>
    <m/>
    <m/>
    <m/>
    <m/>
    <n v="30"/>
    <m/>
    <m/>
    <n v="30"/>
  </r>
  <r>
    <x v="12"/>
    <x v="98"/>
    <s v=" "/>
    <m/>
    <m/>
    <m/>
    <m/>
    <m/>
    <n v="2"/>
    <n v="6"/>
    <m/>
    <m/>
    <n v="4"/>
    <n v="6"/>
    <n v="12"/>
    <n v="6"/>
    <n v="4"/>
    <n v="4"/>
    <n v="4"/>
    <n v="4"/>
    <n v="6"/>
    <n v="4"/>
    <n v="6"/>
    <n v="2"/>
    <n v="70"/>
  </r>
  <r>
    <x v="12"/>
    <x v="99"/>
    <s v=" "/>
    <m/>
    <m/>
    <m/>
    <m/>
    <m/>
    <m/>
    <m/>
    <m/>
    <m/>
    <m/>
    <m/>
    <m/>
    <n v="15"/>
    <n v="15"/>
    <m/>
    <m/>
    <m/>
    <m/>
    <m/>
    <m/>
    <n v="15"/>
    <n v="45"/>
  </r>
  <r>
    <x v="12"/>
    <x v="100"/>
    <s v=" "/>
    <m/>
    <m/>
    <m/>
    <m/>
    <m/>
    <m/>
    <m/>
    <m/>
    <m/>
    <m/>
    <n v="20"/>
    <m/>
    <m/>
    <m/>
    <m/>
    <n v="5"/>
    <n v="5"/>
    <m/>
    <m/>
    <m/>
    <m/>
    <n v="30"/>
  </r>
  <r>
    <x v="12"/>
    <x v="101"/>
    <s v=" "/>
    <m/>
    <m/>
    <m/>
    <m/>
    <m/>
    <m/>
    <m/>
    <m/>
    <m/>
    <n v="20"/>
    <m/>
    <m/>
    <m/>
    <m/>
    <n v="5"/>
    <m/>
    <n v="5"/>
    <m/>
    <m/>
    <m/>
    <m/>
    <n v="30"/>
  </r>
  <r>
    <x v="12"/>
    <x v="102"/>
    <s v=" "/>
    <m/>
    <m/>
    <m/>
    <m/>
    <m/>
    <m/>
    <m/>
    <m/>
    <m/>
    <m/>
    <m/>
    <m/>
    <m/>
    <m/>
    <n v="5"/>
    <m/>
    <n v="5"/>
    <m/>
    <m/>
    <m/>
    <m/>
    <n v="10"/>
  </r>
  <r>
    <x v="12"/>
    <x v="103"/>
    <s v=" "/>
    <m/>
    <m/>
    <m/>
    <m/>
    <m/>
    <m/>
    <m/>
    <m/>
    <m/>
    <m/>
    <m/>
    <m/>
    <m/>
    <m/>
    <m/>
    <m/>
    <m/>
    <m/>
    <m/>
    <m/>
    <m/>
    <n v="0"/>
  </r>
  <r>
    <x v="12"/>
    <x v="104"/>
    <s v=" "/>
    <m/>
    <m/>
    <m/>
    <m/>
    <m/>
    <m/>
    <m/>
    <m/>
    <m/>
    <m/>
    <m/>
    <m/>
    <m/>
    <m/>
    <m/>
    <m/>
    <m/>
    <m/>
    <m/>
    <m/>
    <m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1">
  <r>
    <m/>
    <x v="0"/>
    <s v="A-322-2604"/>
    <s v="10ZZ"/>
    <x v="0"/>
    <d v="2024-09-30T00:00:00"/>
    <d v="2024-10-04T00:00:00"/>
    <m/>
    <n v="1300"/>
    <n v="1000"/>
    <n v="2000"/>
    <n v="1900"/>
    <d v="1899-12-30T07:00:00"/>
    <d v="1899-12-30T02:00:00"/>
    <s v="LS1 Scoggins"/>
    <m/>
    <m/>
    <n v="45"/>
    <n v="24"/>
    <n v="3"/>
    <n v="634"/>
    <n v="24"/>
    <n v="0"/>
    <n v="20"/>
    <n v="0"/>
    <n v="4"/>
    <n v="0"/>
    <n v="0"/>
    <s v="Benzick, Sue"/>
    <n v="-131"/>
    <n v="0"/>
    <n v="0"/>
    <n v="1"/>
    <n v="0"/>
    <n v="24"/>
    <n v="21"/>
    <n v="1"/>
  </r>
  <r>
    <m/>
    <x v="1"/>
    <s v="A-570-0100"/>
    <s v="18B7"/>
    <x v="0"/>
    <d v="2024-09-30T00:00:00"/>
    <d v="2024-10-03T00:00:00"/>
    <m/>
    <n v="1300"/>
    <n v="1000"/>
    <n v="2000"/>
    <n v="1900"/>
    <d v="1899-12-30T07:00:00"/>
    <d v="1899-12-30T02:00:00"/>
    <s v="BMC Sosaya"/>
    <m/>
    <m/>
    <n v="45"/>
    <n v="16"/>
    <n v="2"/>
    <n v="621"/>
    <n v="21"/>
    <n v="0"/>
    <n v="12"/>
    <n v="3"/>
    <n v="6"/>
    <n v="0"/>
    <n v="0"/>
    <s v="Benzick, Sue"/>
    <n v="-132"/>
    <n v="0"/>
    <n v="0"/>
    <n v="1"/>
    <n v="0"/>
    <n v="16"/>
    <n v="24"/>
    <n v="1"/>
  </r>
  <r>
    <m/>
    <x v="2"/>
    <s v="A-493-2098"/>
    <s v="09WW"/>
    <x v="0"/>
    <d v="2024-09-30T00:00:00"/>
    <d v="2024-10-04T00:00:00"/>
    <m/>
    <d v="1899-12-30T08:00:00"/>
    <d v="1899-12-30T05:00:00"/>
    <n v="1500"/>
    <n v="1400"/>
    <d v="1899-12-30T02:00:00"/>
    <n v="2100"/>
    <s v="EMC Stroughn"/>
    <m/>
    <m/>
    <n v="100"/>
    <n v="16"/>
    <n v="2"/>
    <n v="722"/>
    <n v="103"/>
    <n v="3"/>
    <n v="88"/>
    <n v="1"/>
    <n v="12"/>
    <n v="0"/>
    <n v="0"/>
    <s v="Weaver, Nicole"/>
    <n v="-131"/>
    <n v="0"/>
    <n v="0"/>
    <n v="1"/>
    <n v="0"/>
    <n v="16"/>
    <n v="-3"/>
    <n v="1"/>
  </r>
  <r>
    <m/>
    <x v="3"/>
    <s v="A-493-0078"/>
    <n v="1228"/>
    <x v="0"/>
    <d v="2024-10-01T00:00:00"/>
    <d v="2024-10-04T00:00:00"/>
    <m/>
    <n v="1000"/>
    <d v="1899-12-30T07:00:00"/>
    <n v="1700"/>
    <n v="1600"/>
    <d v="1899-12-30T04:00:00"/>
    <n v="2300"/>
    <s v="T. White"/>
    <m/>
    <m/>
    <n v="45"/>
    <n v="32"/>
    <n v="4"/>
    <n v="446"/>
    <n v="28"/>
    <n v="0"/>
    <n v="23"/>
    <n v="0"/>
    <n v="5"/>
    <n v="0"/>
    <n v="0"/>
    <s v="Benzick, Sue"/>
    <n v="-131"/>
    <n v="0"/>
    <n v="0"/>
    <n v="1"/>
    <n v="0"/>
    <n v="32"/>
    <n v="17"/>
    <n v="1"/>
  </r>
  <r>
    <m/>
    <x v="4"/>
    <s v="A-493-0550"/>
    <s v="09K5"/>
    <x v="0"/>
    <d v="2024-10-07T00:00:00"/>
    <d v="2024-10-10T00:00:00"/>
    <m/>
    <n v="1000"/>
    <d v="1899-12-30T07:00:00"/>
    <n v="1700"/>
    <n v="1600"/>
    <d v="1899-12-30T04:00:00"/>
    <n v="2300"/>
    <s v="V. Kentish"/>
    <s v="A. DeCastro"/>
    <m/>
    <n v="45"/>
    <n v="32"/>
    <n v="4"/>
    <n v="465"/>
    <n v="45"/>
    <n v="3"/>
    <n v="38"/>
    <n v="0"/>
    <n v="8"/>
    <n v="0"/>
    <n v="1"/>
    <s v="Bearup, Angie"/>
    <n v="-125"/>
    <n v="0"/>
    <n v="0"/>
    <n v="1"/>
    <n v="1"/>
    <n v="16"/>
    <n v="0"/>
    <n v="1"/>
  </r>
  <r>
    <m/>
    <x v="5"/>
    <s v="A-493-0073"/>
    <s v="714S"/>
    <x v="0"/>
    <d v="2024-10-07T00:00:00"/>
    <d v="2024-10-10T00:00:00"/>
    <m/>
    <d v="1899-12-30T08:00:00"/>
    <d v="1899-12-30T05:00:00"/>
    <n v="1600"/>
    <n v="1400"/>
    <d v="1899-12-30T03:00:00"/>
    <n v="2200"/>
    <s v="SOH Contractor"/>
    <m/>
    <m/>
    <n v="30"/>
    <n v="32"/>
    <n v="4"/>
    <n v="284"/>
    <n v="13"/>
    <n v="0"/>
    <n v="9"/>
    <n v="0"/>
    <n v="4"/>
    <n v="0"/>
    <n v="0"/>
    <s v="Benzick, Sue"/>
    <n v="-125"/>
    <n v="0"/>
    <n v="0"/>
    <n v="1"/>
    <n v="0"/>
    <n v="32"/>
    <n v="17"/>
    <n v="1"/>
  </r>
  <r>
    <m/>
    <x v="6"/>
    <s v="A-493-0085"/>
    <n v="3555"/>
    <x v="0"/>
    <d v="2024-10-07T00:00:00"/>
    <d v="2024-10-10T00:00:00"/>
    <m/>
    <n v="1200"/>
    <d v="1899-12-30T09:00:00"/>
    <n v="1900"/>
    <n v="1800"/>
    <d v="1899-12-30T06:00:00"/>
    <d v="1899-12-30T01:00:00"/>
    <s v="B. Jung"/>
    <m/>
    <m/>
    <n v="45"/>
    <n v="32"/>
    <n v="4"/>
    <n v="503"/>
    <n v="33"/>
    <n v="0"/>
    <n v="20"/>
    <n v="2"/>
    <n v="11"/>
    <n v="0"/>
    <n v="0"/>
    <s v="Weaver, Nicole"/>
    <n v="-125"/>
    <n v="0"/>
    <n v="0"/>
    <n v="1"/>
    <n v="0"/>
    <n v="32"/>
    <n v="12"/>
    <n v="1"/>
  </r>
  <r>
    <s v="SPECIAL CONVENING"/>
    <x v="7"/>
    <s v="A-493-2099"/>
    <s v="438G"/>
    <x v="1"/>
    <d v="2024-10-07T00:00:00"/>
    <d v="2024-10-08T00:00:00"/>
    <d v="1899-12-30T08:00:00"/>
    <m/>
    <m/>
    <m/>
    <m/>
    <m/>
    <m/>
    <s v="EMC Stroughn"/>
    <s v="BMC Sosaya"/>
    <m/>
    <n v="30"/>
    <n v="16"/>
    <n v="2"/>
    <n v="30"/>
    <n v="25"/>
    <n v="0"/>
    <n v="23"/>
    <n v="0"/>
    <n v="0"/>
    <n v="0"/>
    <n v="0"/>
    <s v="Weaver, Nicole"/>
    <n v="-127"/>
    <n v="0"/>
    <n v="0"/>
    <n v="1"/>
    <n v="1"/>
    <n v="8"/>
    <n v="5"/>
    <n v="1"/>
  </r>
  <r>
    <s v="SPECIAL CONVENING"/>
    <x v="7"/>
    <s v="A-493-2099"/>
    <s v="438G"/>
    <x v="1"/>
    <d v="2024-10-09T00:00:00"/>
    <d v="2024-10-10T00:00:00"/>
    <d v="1899-12-30T08:00:00"/>
    <m/>
    <m/>
    <m/>
    <m/>
    <m/>
    <m/>
    <s v="EMC Stroughn"/>
    <s v="BMC Sosaya"/>
    <m/>
    <n v="30"/>
    <n v="16"/>
    <n v="2"/>
    <n v="30"/>
    <n v="25"/>
    <n v="0"/>
    <n v="23"/>
    <n v="1"/>
    <n v="0"/>
    <n v="0"/>
    <n v="0"/>
    <s v="Weaver, Nicole"/>
    <n v="-125"/>
    <n v="0"/>
    <n v="0"/>
    <n v="1"/>
    <n v="1"/>
    <n v="8"/>
    <n v="5"/>
    <n v="1"/>
  </r>
  <r>
    <s v="QTR 1 All Hands @0900"/>
    <x v="8"/>
    <s v="Function"/>
    <s v="Function"/>
    <x v="1"/>
    <d v="2024-10-11T00:00:00"/>
    <d v="2024-10-1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24"/>
    <n v="0"/>
    <n v="0"/>
    <n v="0"/>
    <n v="0"/>
    <e v="#DIV/0!"/>
    <n v="0"/>
    <n v="1"/>
  </r>
  <r>
    <s v="USMC special"/>
    <x v="9"/>
    <s v="A-493-0012"/>
    <n v="3682"/>
    <x v="2"/>
    <d v="2024-10-14T00:00:00"/>
    <d v="2024-10-18T00:00:00"/>
    <d v="1899-12-30T08:00:00"/>
    <m/>
    <m/>
    <m/>
    <m/>
    <m/>
    <m/>
    <s v="ENV Contractor"/>
    <m/>
    <m/>
    <n v="40"/>
    <n v="40"/>
    <n v="5"/>
    <m/>
    <n v="13"/>
    <n v="0"/>
    <n v="12"/>
    <n v="0"/>
    <n v="4"/>
    <n v="4"/>
    <n v="0"/>
    <s v="Kollie, Sarah"/>
    <n v="-117"/>
    <n v="0"/>
    <n v="0"/>
    <n v="1"/>
    <n v="0"/>
    <n v="40"/>
    <n v="27"/>
    <n v="1"/>
  </r>
  <r>
    <s v="Columbus Day"/>
    <x v="10"/>
    <s v="Holiday"/>
    <s v="Holiday"/>
    <x v="3"/>
    <d v="2024-10-14T00:00:00"/>
    <d v="2024-10-14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21"/>
    <n v="0"/>
    <n v="0"/>
    <n v="0"/>
    <n v="0"/>
    <e v="#DIV/0!"/>
    <n v="0"/>
    <n v="1"/>
  </r>
  <r>
    <m/>
    <x v="11"/>
    <s v="A-493-0070"/>
    <s v="450V"/>
    <x v="4"/>
    <d v="2024-10-15T00:00:00"/>
    <d v="2024-10-15T00:00:00"/>
    <d v="1899-12-30T08:00:00"/>
    <m/>
    <m/>
    <m/>
    <m/>
    <m/>
    <m/>
    <s v="B. Jung"/>
    <m/>
    <m/>
    <n v="30"/>
    <n v="8"/>
    <n v="1"/>
    <n v="21"/>
    <n v="17"/>
    <n v="0"/>
    <n v="18"/>
    <n v="0"/>
    <n v="0"/>
    <n v="0"/>
    <n v="0"/>
    <s v="Weaver, Nicole"/>
    <n v="-120"/>
    <n v="0"/>
    <n v="0"/>
    <n v="1"/>
    <n v="0"/>
    <n v="8"/>
    <n v="13"/>
    <n v="1"/>
  </r>
  <r>
    <s v="NFPA 101 POC: Chuck Gum"/>
    <x v="12"/>
    <s v="Reserved"/>
    <s v="Reserved "/>
    <x v="1"/>
    <d v="2024-10-15T00:00:00"/>
    <d v="2024-10-17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18"/>
    <n v="0"/>
    <n v="0"/>
    <n v="0"/>
    <n v="0"/>
    <e v="#DIV/0!"/>
    <n v="0"/>
    <n v="1"/>
  </r>
  <r>
    <m/>
    <x v="13"/>
    <s v="A-493-0331"/>
    <s v="10UG"/>
    <x v="0"/>
    <d v="2024-10-15T00:00:00"/>
    <d v="2024-10-17T00:00:00"/>
    <m/>
    <n v="1200"/>
    <d v="1899-12-30T09:00:00"/>
    <n v="1900"/>
    <n v="1800"/>
    <d v="1899-12-30T06:00:00"/>
    <d v="1899-12-30T01:00:00"/>
    <s v="W. Mitchell"/>
    <m/>
    <m/>
    <n v="45"/>
    <n v="24"/>
    <n v="3"/>
    <n v="805"/>
    <n v="45"/>
    <n v="5"/>
    <n v="33"/>
    <n v="1"/>
    <n v="15"/>
    <n v="1"/>
    <n v="0"/>
    <s v="Weaver, Nicole"/>
    <n v="-118"/>
    <n v="0"/>
    <n v="0"/>
    <n v="1"/>
    <n v="0"/>
    <n v="24"/>
    <n v="0"/>
    <n v="1"/>
  </r>
  <r>
    <m/>
    <x v="14"/>
    <s v="A-493-0335"/>
    <s v="09ND"/>
    <x v="0"/>
    <d v="2024-10-15T00:00:00"/>
    <d v="2024-10-18T00:00:00"/>
    <m/>
    <n v="1200"/>
    <d v="1899-12-30T09:00:00"/>
    <n v="1900"/>
    <n v="1800"/>
    <d v="1899-12-30T06:00:00"/>
    <d v="1899-12-30T01:00:00"/>
    <s v="A. Harris"/>
    <s v="LTJG Bozenski"/>
    <m/>
    <n v="45"/>
    <n v="32"/>
    <n v="4"/>
    <n v="400"/>
    <n v="14"/>
    <n v="0"/>
    <n v="10"/>
    <n v="1"/>
    <n v="3"/>
    <n v="0"/>
    <n v="0"/>
    <s v="Kollie, Sarah"/>
    <n v="-117"/>
    <n v="0"/>
    <n v="0"/>
    <n v="1"/>
    <n v="1"/>
    <n v="16"/>
    <n v="31"/>
    <n v="1"/>
  </r>
  <r>
    <m/>
    <x v="3"/>
    <s v="A-493-0078"/>
    <n v="1228"/>
    <x v="0"/>
    <d v="2024-10-15T00:00:00"/>
    <d v="2024-10-18T00:00:00"/>
    <m/>
    <n v="1300"/>
    <n v="1000"/>
    <n v="2000"/>
    <n v="1900"/>
    <d v="1899-12-30T07:00:00"/>
    <d v="1899-12-30T02:00:00"/>
    <s v="T. White"/>
    <m/>
    <m/>
    <n v="45"/>
    <n v="32"/>
    <n v="4"/>
    <n v="840"/>
    <n v="30"/>
    <n v="0"/>
    <n v="28"/>
    <n v="1"/>
    <n v="2"/>
    <n v="1"/>
    <n v="0"/>
    <s v="Kollie, Sarah"/>
    <n v="-117"/>
    <n v="0"/>
    <n v="0"/>
    <n v="1"/>
    <n v="0"/>
    <n v="32"/>
    <n v="15"/>
    <n v="1"/>
  </r>
  <r>
    <m/>
    <x v="15"/>
    <s v="A-493-0020"/>
    <n v="3888"/>
    <x v="4"/>
    <d v="2024-10-16T00:00:00"/>
    <d v="2024-10-16T00:00:00"/>
    <n v="1200"/>
    <m/>
    <m/>
    <m/>
    <m/>
    <m/>
    <m/>
    <s v="B. Jung"/>
    <m/>
    <m/>
    <n v="30"/>
    <n v="4"/>
    <n v="0.5"/>
    <n v="7"/>
    <n v="13"/>
    <n v="0"/>
    <n v="13"/>
    <n v="0"/>
    <n v="0"/>
    <n v="0"/>
    <n v="0"/>
    <s v="Weaver, Nicole"/>
    <n v="-119"/>
    <n v="0"/>
    <n v="0"/>
    <n v="1"/>
    <n v="0"/>
    <n v="4"/>
    <n v="17"/>
    <n v="1"/>
  </r>
  <r>
    <m/>
    <x v="16"/>
    <s v="A-493-0072"/>
    <s v="713U"/>
    <x v="4"/>
    <d v="2024-10-16T00:00:00"/>
    <d v="2024-10-16T00:00:00"/>
    <d v="1899-12-30T08:00:00"/>
    <m/>
    <m/>
    <m/>
    <m/>
    <m/>
    <m/>
    <s v="B. Jung"/>
    <m/>
    <m/>
    <n v="30"/>
    <n v="40"/>
    <n v="5"/>
    <n v="38"/>
    <n v="24"/>
    <n v="0"/>
    <n v="26"/>
    <n v="0"/>
    <n v="0"/>
    <n v="0"/>
    <n v="0"/>
    <s v="Weaver, Nicole"/>
    <n v="-119"/>
    <n v="0"/>
    <n v="0"/>
    <n v="1"/>
    <n v="0"/>
    <n v="40"/>
    <n v="6"/>
    <n v="1"/>
  </r>
  <r>
    <s v="Special convening for CVN 69"/>
    <x v="17"/>
    <s v="A-760-2166"/>
    <s v="438J"/>
    <x v="4"/>
    <d v="2024-10-17T00:00:00"/>
    <d v="2024-10-18T00:00:00"/>
    <d v="1899-12-30T08:00:00"/>
    <m/>
    <m/>
    <m/>
    <m/>
    <m/>
    <m/>
    <s v="B. Jung"/>
    <m/>
    <m/>
    <n v="25"/>
    <n v="16"/>
    <n v="2"/>
    <m/>
    <n v="12"/>
    <n v="0"/>
    <n v="12"/>
    <n v="0"/>
    <n v="0"/>
    <n v="0"/>
    <n v="0"/>
    <s v="Weaver, Nicole"/>
    <n v="-117"/>
    <n v="0"/>
    <n v="0"/>
    <n v="1"/>
    <n v="0"/>
    <n v="16"/>
    <n v="13"/>
    <n v="1"/>
  </r>
  <r>
    <m/>
    <x v="1"/>
    <s v="A-570-0100"/>
    <s v="18B7"/>
    <x v="0"/>
    <d v="2024-10-20T00:00:00"/>
    <d v="2024-10-24T00:00:00"/>
    <m/>
    <n v="1900"/>
    <n v="1600"/>
    <d v="1899-12-30T02:00:00"/>
    <d v="1899-12-30T00:00:00"/>
    <n v="1300"/>
    <d v="1899-12-30T08:00:00"/>
    <s v="BMC Sosaya"/>
    <m/>
    <m/>
    <n v="45"/>
    <n v="16"/>
    <n v="2"/>
    <n v="132"/>
    <n v="18"/>
    <n v="0"/>
    <n v="14"/>
    <n v="3"/>
    <n v="2"/>
    <n v="1"/>
    <n v="0"/>
    <s v="Benzick, Sue"/>
    <n v="-111"/>
    <n v="0"/>
    <n v="0"/>
    <n v="1"/>
    <n v="0"/>
    <n v="16"/>
    <n v="27"/>
    <n v="1"/>
  </r>
  <r>
    <m/>
    <x v="18"/>
    <s v="A-493-0069"/>
    <s v="450U"/>
    <x v="4"/>
    <d v="2024-10-21T00:00:00"/>
    <d v="2024-10-25T00:00:00"/>
    <d v="1899-12-30T08:00:00"/>
    <m/>
    <m/>
    <m/>
    <m/>
    <m/>
    <m/>
    <s v="B. Jung"/>
    <m/>
    <m/>
    <n v="25"/>
    <n v="40"/>
    <n v="5"/>
    <n v="13"/>
    <n v="5"/>
    <n v="0"/>
    <n v="4"/>
    <n v="0"/>
    <n v="1"/>
    <n v="0"/>
    <n v="0"/>
    <s v="Weaver, Nicole"/>
    <n v="-110"/>
    <n v="0"/>
    <n v="0"/>
    <n v="1"/>
    <n v="0"/>
    <n v="40"/>
    <n v="20"/>
    <n v="1"/>
  </r>
  <r>
    <m/>
    <x v="19"/>
    <s v="A-493-0030"/>
    <s v="286X"/>
    <x v="1"/>
    <d v="2024-10-21T00:00:00"/>
    <d v="2024-10-25T00:00:00"/>
    <d v="1899-12-30T08:00:00"/>
    <m/>
    <m/>
    <m/>
    <m/>
    <m/>
    <m/>
    <s v="OH Contractor"/>
    <m/>
    <m/>
    <n v="25"/>
    <n v="40"/>
    <n v="5"/>
    <n v="63"/>
    <n v="25"/>
    <n v="0"/>
    <n v="16"/>
    <n v="2"/>
    <n v="7"/>
    <n v="1"/>
    <n v="0"/>
    <s v="Weaver, Nicole"/>
    <n v="-110"/>
    <n v="0"/>
    <n v="0"/>
    <n v="1"/>
    <n v="0"/>
    <n v="40"/>
    <n v="0"/>
    <n v="1"/>
  </r>
  <r>
    <m/>
    <x v="9"/>
    <s v="A-493-0012"/>
    <n v="3682"/>
    <x v="5"/>
    <d v="2024-10-21T00:00:00"/>
    <d v="2024-10-25T00:00:00"/>
    <d v="1899-12-30T08:00:00"/>
    <m/>
    <m/>
    <m/>
    <m/>
    <m/>
    <m/>
    <s v="ENV Contractor"/>
    <m/>
    <m/>
    <n v="40"/>
    <n v="40"/>
    <n v="5"/>
    <m/>
    <n v="28"/>
    <n v="0"/>
    <n v="21"/>
    <n v="0"/>
    <n v="8"/>
    <n v="1"/>
    <n v="0"/>
    <s v="Benzick, Sue"/>
    <n v="-110"/>
    <n v="0"/>
    <n v="0"/>
    <n v="1"/>
    <n v="0"/>
    <n v="40"/>
    <n v="12"/>
    <n v="1"/>
  </r>
  <r>
    <m/>
    <x v="20"/>
    <s v="A-493-0061"/>
    <s v="288E"/>
    <x v="0"/>
    <d v="2024-10-21T00:00:00"/>
    <d v="2024-10-24T00:00:00"/>
    <m/>
    <d v="1899-12-30T08:00:00"/>
    <d v="1899-12-30T05:00:00"/>
    <n v="1500"/>
    <n v="1400"/>
    <d v="1899-12-30T02:00:00"/>
    <n v="2100"/>
    <s v="S. Griffin"/>
    <m/>
    <m/>
    <n v="45"/>
    <n v="30"/>
    <n v="4"/>
    <n v="369"/>
    <n v="34"/>
    <n v="0"/>
    <n v="31"/>
    <n v="0"/>
    <n v="4"/>
    <n v="0"/>
    <n v="0"/>
    <s v="Bearup, Angie"/>
    <n v="-111"/>
    <n v="0"/>
    <n v="0"/>
    <n v="1"/>
    <n v="0"/>
    <n v="30"/>
    <n v="11"/>
    <n v="1"/>
  </r>
  <r>
    <m/>
    <x v="0"/>
    <s v="A-322-2604"/>
    <s v="10ZZ"/>
    <x v="0"/>
    <d v="2024-10-21T00:00:00"/>
    <d v="2024-10-25T00:00:00"/>
    <m/>
    <d v="1899-12-30T08:00:00"/>
    <d v="1899-12-30T05:00:00"/>
    <n v="1500"/>
    <n v="1400"/>
    <d v="1899-12-30T02:00:00"/>
    <n v="2100"/>
    <s v="LS1 Scoggins"/>
    <m/>
    <m/>
    <n v="45"/>
    <n v="24"/>
    <n v="3"/>
    <n v="357"/>
    <n v="37"/>
    <n v="0"/>
    <n v="30"/>
    <n v="0"/>
    <n v="9"/>
    <n v="0"/>
    <n v="0"/>
    <s v="Benzick, Sue"/>
    <n v="-110"/>
    <n v="0"/>
    <n v="0"/>
    <n v="1"/>
    <n v="0"/>
    <n v="24"/>
    <n v="8"/>
    <n v="1"/>
  </r>
  <r>
    <m/>
    <x v="4"/>
    <s v="A-493-0550"/>
    <s v="09K5"/>
    <x v="0"/>
    <d v="2024-10-21T00:00:00"/>
    <d v="2024-10-24T00:00:00"/>
    <m/>
    <d v="1899-12-30T08:00:00"/>
    <d v="1899-12-30T05:00:00"/>
    <n v="1500"/>
    <n v="1400"/>
    <d v="1899-12-30T02:00:00"/>
    <n v="2100"/>
    <s v="V. Kentish"/>
    <s v="A. DeCastro"/>
    <m/>
    <n v="45"/>
    <n v="32"/>
    <n v="4"/>
    <n v="845"/>
    <n v="43"/>
    <n v="2"/>
    <n v="40"/>
    <n v="0"/>
    <n v="5"/>
    <n v="0"/>
    <n v="0"/>
    <s v="Kollie, Sarah"/>
    <n v="-111"/>
    <n v="0"/>
    <n v="0"/>
    <n v="1"/>
    <n v="1"/>
    <n v="16"/>
    <n v="2"/>
    <n v="1"/>
  </r>
  <r>
    <m/>
    <x v="21"/>
    <s v="A-493-0083"/>
    <s v="339E"/>
    <x v="0"/>
    <d v="2024-10-24T00:00:00"/>
    <d v="2024-10-24T00:00:00"/>
    <m/>
    <d v="1899-12-30T08:00:00"/>
    <d v="1899-12-30T05:00:00"/>
    <n v="1500"/>
    <n v="1400"/>
    <d v="1899-12-30T02:00:00"/>
    <n v="2100"/>
    <s v="ENV Contractor"/>
    <m/>
    <m/>
    <n v="30"/>
    <n v="8"/>
    <n v="1"/>
    <m/>
    <n v="12"/>
    <n v="0"/>
    <n v="12"/>
    <n v="0"/>
    <n v="1"/>
    <n v="0"/>
    <n v="0"/>
    <s v="Benzick, Sue"/>
    <n v="-111"/>
    <n v="0"/>
    <n v="0"/>
    <n v="1"/>
    <n v="0"/>
    <n v="8"/>
    <n v="18"/>
    <n v="1"/>
  </r>
  <r>
    <m/>
    <x v="22"/>
    <s v="A-493-2501"/>
    <s v="05ZE"/>
    <x v="6"/>
    <d v="2024-10-24T00:00:00"/>
    <d v="2024-10-24T00:00:00"/>
    <d v="1899-12-30T08:00:00"/>
    <m/>
    <m/>
    <m/>
    <m/>
    <m/>
    <m/>
    <s v="ENV Contractor"/>
    <m/>
    <m/>
    <n v="30"/>
    <n v="8"/>
    <n v="1"/>
    <m/>
    <n v="5"/>
    <n v="0"/>
    <n v="11"/>
    <n v="0"/>
    <n v="1"/>
    <n v="11"/>
    <n v="0"/>
    <s v="Weaver, Nicole"/>
    <n v="-111"/>
    <n v="0"/>
    <n v="0"/>
    <n v="1"/>
    <n v="0"/>
    <n v="8"/>
    <n v="25"/>
    <n v="1"/>
  </r>
  <r>
    <m/>
    <x v="2"/>
    <s v="A-493-2098"/>
    <s v="09WW"/>
    <x v="0"/>
    <d v="2024-10-27T00:00:00"/>
    <d v="2024-10-31T00:00:00"/>
    <m/>
    <n v="1900"/>
    <n v="1600"/>
    <d v="1899-12-30T02:00:00"/>
    <d v="1899-12-30T00:00:00"/>
    <n v="1300"/>
    <d v="1899-12-30T08:00:00"/>
    <s v="EMC Stroughn"/>
    <m/>
    <m/>
    <n v="100"/>
    <n v="16"/>
    <n v="2"/>
    <n v="161"/>
    <n v="100"/>
    <n v="4"/>
    <n v="78"/>
    <n v="1"/>
    <n v="16"/>
    <n v="1"/>
    <n v="0"/>
    <s v="Weaver, Nicole"/>
    <n v="-104"/>
    <n v="0"/>
    <n v="0"/>
    <n v="1"/>
    <n v="0"/>
    <n v="16"/>
    <n v="0"/>
    <n v="1"/>
  </r>
  <r>
    <m/>
    <x v="23"/>
    <s v="A-493-0014"/>
    <n v="3878"/>
    <x v="4"/>
    <d v="2024-10-28T00:00:00"/>
    <d v="2024-10-30T00:00:00"/>
    <d v="1899-12-30T08:00:00"/>
    <m/>
    <m/>
    <m/>
    <m/>
    <m/>
    <m/>
    <s v="B. Jung"/>
    <m/>
    <m/>
    <n v="25"/>
    <n v="24"/>
    <n v="3"/>
    <n v="66"/>
    <n v="10"/>
    <n v="0"/>
    <n v="9"/>
    <n v="0"/>
    <n v="1"/>
    <n v="0"/>
    <n v="0"/>
    <s v="Weaver, Nicole"/>
    <n v="-105"/>
    <n v="0"/>
    <n v="0"/>
    <n v="1"/>
    <n v="0"/>
    <n v="24"/>
    <n v="15"/>
    <n v="1"/>
  </r>
  <r>
    <m/>
    <x v="3"/>
    <s v="A-493-0078"/>
    <n v="1228"/>
    <x v="0"/>
    <d v="2024-10-28T00:00:00"/>
    <d v="2024-10-31T00:00:00"/>
    <m/>
    <d v="1899-12-30T08:00:00"/>
    <d v="1899-12-30T05:00:00"/>
    <n v="1500"/>
    <n v="1400"/>
    <d v="1899-12-30T02:00:00"/>
    <n v="2100"/>
    <s v="T. White"/>
    <m/>
    <m/>
    <n v="45"/>
    <n v="32"/>
    <n v="4"/>
    <n v="508"/>
    <n v="31"/>
    <n v="0"/>
    <n v="31"/>
    <n v="0"/>
    <n v="3"/>
    <n v="1"/>
    <n v="0"/>
    <s v="Kollie, Sarah"/>
    <n v="-104"/>
    <n v="0"/>
    <n v="0"/>
    <n v="1"/>
    <n v="0"/>
    <n v="32"/>
    <n v="14"/>
    <n v="1"/>
  </r>
  <r>
    <m/>
    <x v="16"/>
    <s v="A-493-0072"/>
    <s v="713U"/>
    <x v="1"/>
    <d v="2024-10-28T00:00:00"/>
    <d v="2024-11-01T00:00:00"/>
    <d v="1899-12-30T08:00:00"/>
    <m/>
    <m/>
    <m/>
    <m/>
    <m/>
    <m/>
    <s v="K. Seo"/>
    <s v="LT Andrew"/>
    <m/>
    <n v="30"/>
    <n v="40"/>
    <n v="5"/>
    <n v="170"/>
    <n v="30"/>
    <n v="0"/>
    <n v="29"/>
    <n v="2"/>
    <n v="3"/>
    <n v="4"/>
    <n v="0"/>
    <s v="Weaver, Nicole"/>
    <n v="-103"/>
    <n v="0"/>
    <n v="0"/>
    <n v="1"/>
    <n v="1"/>
    <n v="20"/>
    <n v="0"/>
    <n v="1"/>
  </r>
  <r>
    <s v="SMT special convening"/>
    <x v="24"/>
    <s v="A-493-0013"/>
    <n v="3683"/>
    <x v="7"/>
    <d v="2024-10-29T00:00:00"/>
    <d v="2024-10-30T00:00:00"/>
    <d v="1899-12-30T08:00:00"/>
    <m/>
    <m/>
    <m/>
    <m/>
    <m/>
    <m/>
    <s v="ENV Contractor"/>
    <m/>
    <m/>
    <n v="40"/>
    <n v="24"/>
    <n v="3"/>
    <m/>
    <n v="10"/>
    <n v="0"/>
    <n v="12"/>
    <n v="0"/>
    <n v="1"/>
    <n v="0"/>
    <n v="0"/>
    <s v="Benzick, Sue"/>
    <n v="-105"/>
    <n v="0"/>
    <n v="0"/>
    <n v="1"/>
    <n v="0"/>
    <n v="24"/>
    <n v="30"/>
    <n v="1"/>
  </r>
  <r>
    <m/>
    <x v="13"/>
    <s v="A-493-0331"/>
    <s v="10UG"/>
    <x v="0"/>
    <d v="2024-10-29T00:00:00"/>
    <d v="2024-10-31T00:00:00"/>
    <m/>
    <n v="1900"/>
    <n v="1600"/>
    <d v="1899-12-30T02:00:00"/>
    <d v="1899-12-30T00:00:00"/>
    <n v="1300"/>
    <d v="1899-12-30T08:00:00"/>
    <s v="W. Mitchell"/>
    <m/>
    <m/>
    <n v="45"/>
    <n v="24"/>
    <n v="3"/>
    <n v="169"/>
    <n v="45"/>
    <n v="5"/>
    <n v="43"/>
    <n v="0"/>
    <n v="5"/>
    <n v="0"/>
    <n v="0"/>
    <s v="Weaver, Nicole"/>
    <n v="-104"/>
    <n v="0"/>
    <n v="0"/>
    <n v="1"/>
    <n v="0"/>
    <n v="24"/>
    <n v="0"/>
    <n v="1"/>
  </r>
  <r>
    <m/>
    <x v="25"/>
    <s v="A-493-0019"/>
    <n v="3882"/>
    <x v="4"/>
    <d v="2024-10-31T00:00:00"/>
    <d v="2024-11-01T00:00:00"/>
    <d v="1899-12-30T08:00:00"/>
    <m/>
    <m/>
    <m/>
    <m/>
    <m/>
    <m/>
    <s v="B. Jung"/>
    <m/>
    <m/>
    <n v="25"/>
    <n v="16"/>
    <n v="2"/>
    <n v="5"/>
    <n v="7"/>
    <n v="0"/>
    <n v="7"/>
    <n v="0"/>
    <n v="0"/>
    <n v="1"/>
    <n v="0"/>
    <s v="Weaver, Nicole"/>
    <n v="-103"/>
    <n v="0"/>
    <n v="0"/>
    <n v="1"/>
    <n v="0"/>
    <n v="16"/>
    <n v="18"/>
    <n v="1"/>
  </r>
  <r>
    <m/>
    <x v="0"/>
    <s v="A-322-2604"/>
    <s v="10ZZ"/>
    <x v="0"/>
    <d v="2024-11-03T00:00:00"/>
    <d v="2024-11-07T00:00:00"/>
    <m/>
    <n v="1900"/>
    <n v="1600"/>
    <d v="1899-12-30T02:00:00"/>
    <d v="1899-12-30T00:00:00"/>
    <n v="1300"/>
    <d v="1899-12-30T08:00:00"/>
    <s v="LS1 Scoggins"/>
    <m/>
    <m/>
    <n v="45"/>
    <n v="24"/>
    <n v="3"/>
    <n v="105"/>
    <n v="45"/>
    <n v="0"/>
    <n v="34"/>
    <n v="2"/>
    <n v="9"/>
    <n v="0"/>
    <n v="0"/>
    <s v="Benzick, Sue"/>
    <n v="-97"/>
    <n v="0"/>
    <n v="0"/>
    <n v="1"/>
    <n v="0"/>
    <n v="24"/>
    <n v="0"/>
    <n v="1"/>
  </r>
  <r>
    <m/>
    <x v="26"/>
    <s v="A-4J-0022"/>
    <s v="09ER"/>
    <x v="0"/>
    <d v="2024-11-04T00:00:00"/>
    <d v="2024-11-08T00:00:00"/>
    <m/>
    <n v="1900"/>
    <n v="1600"/>
    <d v="1899-12-30T02:00:00"/>
    <d v="1899-12-30T00:00:00"/>
    <n v="1300"/>
    <d v="1899-12-30T08:00:00"/>
    <s v="BMC Sosaya"/>
    <m/>
    <m/>
    <n v="45"/>
    <n v="16"/>
    <n v="2"/>
    <n v="58"/>
    <n v="20"/>
    <n v="0"/>
    <n v="16"/>
    <n v="0"/>
    <n v="4"/>
    <n v="0"/>
    <n v="0"/>
    <s v="Benzick, Sue"/>
    <n v="-96"/>
    <n v="0"/>
    <n v="0"/>
    <n v="1"/>
    <n v="0"/>
    <n v="16"/>
    <n v="25"/>
    <n v="1"/>
  </r>
  <r>
    <m/>
    <x v="20"/>
    <s v="A-493-0061"/>
    <s v="288E"/>
    <x v="0"/>
    <d v="2024-11-04T00:00:00"/>
    <d v="2024-11-07T00:00:00"/>
    <m/>
    <n v="1300"/>
    <n v="1000"/>
    <n v="2100"/>
    <n v="1900"/>
    <d v="1899-12-30T08:00:00"/>
    <d v="1899-12-30T03:00:00"/>
    <s v="S. Griffin"/>
    <m/>
    <m/>
    <n v="45"/>
    <n v="30"/>
    <n v="4"/>
    <n v="533"/>
    <n v="31"/>
    <n v="0"/>
    <n v="29"/>
    <n v="0"/>
    <n v="3"/>
    <n v="0"/>
    <n v="0"/>
    <s v="Kollie, Sarah"/>
    <n v="-97"/>
    <n v="0"/>
    <n v="0"/>
    <n v="1"/>
    <n v="0"/>
    <n v="30"/>
    <n v="14"/>
    <n v="1"/>
  </r>
  <r>
    <m/>
    <x v="14"/>
    <s v="A-493-0335"/>
    <s v="09ND"/>
    <x v="0"/>
    <d v="2024-11-04T00:00:00"/>
    <d v="2024-11-07T00:00:00"/>
    <m/>
    <n v="1200"/>
    <d v="1899-12-30T09:00:00"/>
    <n v="1900"/>
    <n v="1800"/>
    <d v="1899-12-30T06:00:00"/>
    <d v="1899-12-30T01:00:00"/>
    <s v="W. Mitchell"/>
    <m/>
    <m/>
    <n v="45"/>
    <n v="32"/>
    <n v="4"/>
    <n v="400"/>
    <n v="24"/>
    <n v="0"/>
    <n v="20"/>
    <n v="4"/>
    <n v="6"/>
    <n v="0"/>
    <n v="0"/>
    <s v="Benzick, Sue"/>
    <n v="-97"/>
    <n v="0"/>
    <n v="0"/>
    <n v="1"/>
    <n v="0"/>
    <n v="32"/>
    <n v="21"/>
    <n v="1"/>
  </r>
  <r>
    <m/>
    <x v="4"/>
    <s v="A-493-0550"/>
    <s v="09K5"/>
    <x v="0"/>
    <d v="2024-11-04T00:00:00"/>
    <d v="2024-11-07T00:00:00"/>
    <m/>
    <n v="1000"/>
    <d v="1899-12-30T07:00:00"/>
    <n v="1700"/>
    <n v="1600"/>
    <d v="1899-12-30T04:00:00"/>
    <n v="2300"/>
    <s v="V. Kentish"/>
    <m/>
    <m/>
    <n v="45"/>
    <n v="32"/>
    <n v="4"/>
    <n v="465"/>
    <n v="42"/>
    <n v="3"/>
    <n v="41"/>
    <n v="0"/>
    <n v="7"/>
    <n v="0"/>
    <n v="0"/>
    <s v="Kollie, Sarah"/>
    <n v="-97"/>
    <n v="0"/>
    <n v="0"/>
    <n v="1"/>
    <n v="0"/>
    <n v="32"/>
    <n v="3"/>
    <n v="1"/>
  </r>
  <r>
    <m/>
    <x v="3"/>
    <s v="A-493-0078"/>
    <n v="1228"/>
    <x v="0"/>
    <d v="2024-11-04T00:00:00"/>
    <d v="2024-11-07T00:00:00"/>
    <m/>
    <n v="1000"/>
    <d v="1899-12-30T07:00:00"/>
    <n v="1700"/>
    <n v="1600"/>
    <d v="1899-12-30T04:00:00"/>
    <n v="2300"/>
    <s v="T. White"/>
    <m/>
    <m/>
    <n v="45"/>
    <n v="32"/>
    <n v="4"/>
    <n v="446"/>
    <n v="36"/>
    <n v="0"/>
    <n v="31"/>
    <n v="0"/>
    <n v="7"/>
    <n v="0"/>
    <n v="0"/>
    <s v="Kollie, Sarah"/>
    <n v="-97"/>
    <n v="0"/>
    <n v="0"/>
    <n v="1"/>
    <n v="0"/>
    <n v="32"/>
    <n v="9"/>
    <n v="1"/>
  </r>
  <r>
    <s v="Veterans Day"/>
    <x v="10"/>
    <s v="Holiday"/>
    <s v="Holiday"/>
    <x v="3"/>
    <d v="2024-11-11T00:00:00"/>
    <d v="2024-11-1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93"/>
    <n v="0"/>
    <n v="0"/>
    <n v="0"/>
    <n v="0"/>
    <e v="#DIV/0!"/>
    <n v="0"/>
    <n v="1"/>
  </r>
  <r>
    <m/>
    <x v="27"/>
    <s v="A-493-2300"/>
    <s v="993F"/>
    <x v="8"/>
    <d v="2024-11-12T00:00:00"/>
    <d v="2024-11-13T00:00:00"/>
    <d v="1899-12-30T08:00:00"/>
    <m/>
    <m/>
    <m/>
    <m/>
    <m/>
    <m/>
    <s v="ENV Contractor"/>
    <m/>
    <m/>
    <n v="30"/>
    <n v="16"/>
    <n v="2"/>
    <n v="13"/>
    <n v="13"/>
    <n v="0"/>
    <n v="11"/>
    <n v="0"/>
    <n v="3"/>
    <n v="2"/>
    <n v="0"/>
    <s v="Weaver, Nicole"/>
    <n v="-91"/>
    <n v="0"/>
    <n v="0"/>
    <n v="1"/>
    <n v="0"/>
    <n v="16"/>
    <n v="17"/>
    <n v="1"/>
  </r>
  <r>
    <m/>
    <x v="13"/>
    <s v="A-493-0331"/>
    <s v="10UG"/>
    <x v="0"/>
    <d v="2024-11-12T00:00:00"/>
    <d v="2024-11-14T00:00:00"/>
    <m/>
    <n v="1200"/>
    <d v="1899-12-30T09:00:00"/>
    <n v="2000"/>
    <n v="1800"/>
    <d v="1899-12-30T07:00:00"/>
    <d v="1899-12-30T02:00:00"/>
    <s v="W. Mitchell"/>
    <m/>
    <m/>
    <n v="45"/>
    <n v="24"/>
    <n v="3"/>
    <n v="805"/>
    <n v="45"/>
    <n v="4"/>
    <n v="45"/>
    <n v="0"/>
    <n v="5"/>
    <n v="1"/>
    <n v="0"/>
    <s v="Weaver, Nicole"/>
    <n v="-90"/>
    <n v="0"/>
    <n v="0"/>
    <n v="1"/>
    <n v="0"/>
    <n v="24"/>
    <n v="0"/>
    <n v="1"/>
  </r>
  <r>
    <m/>
    <x v="28"/>
    <s v="A-493-0092"/>
    <n v="5891"/>
    <x v="1"/>
    <d v="2024-11-13T00:00:00"/>
    <d v="2024-11-15T00:00:00"/>
    <d v="1899-12-30T08:00:00"/>
    <m/>
    <m/>
    <m/>
    <m/>
    <m/>
    <m/>
    <s v="B. Jung"/>
    <s v="LTJG Bozenski"/>
    <m/>
    <n v="25"/>
    <n v="24"/>
    <n v="3"/>
    <n v="72"/>
    <n v="6"/>
    <n v="0"/>
    <n v="6"/>
    <n v="0"/>
    <n v="0"/>
    <n v="0"/>
    <n v="0"/>
    <s v="Weaver, Nicole"/>
    <n v="-89"/>
    <n v="0"/>
    <n v="0"/>
    <n v="1"/>
    <n v="1"/>
    <n v="12"/>
    <n v="19"/>
    <n v="1"/>
  </r>
  <r>
    <m/>
    <x v="29"/>
    <s v="A-493-0216"/>
    <s v="12X8"/>
    <x v="8"/>
    <d v="2024-11-14T00:00:00"/>
    <d v="2024-11-14T00:00:00"/>
    <d v="1899-12-30T08:00:00"/>
    <m/>
    <m/>
    <m/>
    <m/>
    <m/>
    <m/>
    <s v="ENV Contractor"/>
    <m/>
    <m/>
    <n v="30"/>
    <n v="8"/>
    <n v="1"/>
    <n v="7"/>
    <n v="10"/>
    <n v="0"/>
    <n v="9"/>
    <n v="0"/>
    <n v="4"/>
    <n v="2"/>
    <n v="0"/>
    <s v="Weaver, Nicole"/>
    <n v="-90"/>
    <n v="0"/>
    <n v="0"/>
    <n v="1"/>
    <n v="0"/>
    <n v="8"/>
    <n v="20"/>
    <n v="1"/>
  </r>
  <r>
    <m/>
    <x v="30"/>
    <s v="A-493-0665"/>
    <s v="10KW"/>
    <x v="0"/>
    <d v="2024-11-17T00:00:00"/>
    <d v="2024-11-21T00:00:00"/>
    <m/>
    <n v="1900"/>
    <n v="1600"/>
    <d v="1899-12-30T03:00:00"/>
    <d v="1899-12-30T01:00:00"/>
    <n v="1400"/>
    <d v="1899-12-30T09:00:00"/>
    <s v="EMC Stroughn"/>
    <m/>
    <m/>
    <n v="45"/>
    <n v="24"/>
    <n v="3"/>
    <n v="39"/>
    <n v="43"/>
    <n v="0"/>
    <n v="33"/>
    <n v="0"/>
    <n v="10"/>
    <n v="0"/>
    <n v="0"/>
    <s v="Benzick, Sue"/>
    <n v="-83"/>
    <n v="0"/>
    <n v="0"/>
    <n v="1"/>
    <n v="0"/>
    <n v="24"/>
    <n v="2"/>
    <n v="1"/>
  </r>
  <r>
    <m/>
    <x v="9"/>
    <s v="A-493-0012"/>
    <n v="3682"/>
    <x v="9"/>
    <d v="2024-11-18T00:00:00"/>
    <d v="2024-11-22T00:00:00"/>
    <d v="1899-12-30T08:00:00"/>
    <m/>
    <m/>
    <m/>
    <m/>
    <m/>
    <m/>
    <s v="ENV Contractor"/>
    <m/>
    <m/>
    <n v="40"/>
    <n v="40"/>
    <n v="5"/>
    <n v="80"/>
    <n v="9"/>
    <n v="0"/>
    <n v="33"/>
    <n v="0"/>
    <n v="2"/>
    <n v="26"/>
    <n v="19"/>
    <s v="Benzick, Sue"/>
    <n v="-82"/>
    <n v="0"/>
    <n v="0"/>
    <n v="1"/>
    <n v="0"/>
    <n v="40"/>
    <n v="31"/>
    <n v="1"/>
  </r>
  <r>
    <m/>
    <x v="27"/>
    <s v="A-493-2300"/>
    <s v="993F"/>
    <x v="10"/>
    <d v="2024-11-18T00:00:00"/>
    <d v="2024-11-19T00:00:00"/>
    <d v="1899-12-30T08:00:00"/>
    <m/>
    <m/>
    <m/>
    <m/>
    <m/>
    <m/>
    <s v="ENV Contractor"/>
    <m/>
    <m/>
    <n v="30"/>
    <n v="16"/>
    <n v="2"/>
    <n v="6"/>
    <n v="11"/>
    <n v="0"/>
    <n v="10"/>
    <n v="0"/>
    <n v="1"/>
    <n v="0"/>
    <n v="0"/>
    <s v="Weaver, Nicole"/>
    <n v="-85"/>
    <n v="0"/>
    <n v="0"/>
    <n v="1"/>
    <n v="0"/>
    <n v="16"/>
    <n v="19"/>
    <n v="1"/>
  </r>
  <r>
    <m/>
    <x v="14"/>
    <s v="A-493-0335"/>
    <s v="09ND"/>
    <x v="0"/>
    <d v="2024-11-18T00:00:00"/>
    <d v="2024-11-21T00:00:00"/>
    <m/>
    <n v="1900"/>
    <n v="1600"/>
    <d v="1899-12-30T03:00:00"/>
    <d v="1899-12-30T01:00:00"/>
    <n v="1400"/>
    <d v="1899-12-30T09:00:00"/>
    <s v="LTJG Bozenski"/>
    <s v="B. Jung"/>
    <m/>
    <n v="45"/>
    <n v="32"/>
    <n v="4"/>
    <n v="112"/>
    <n v="20"/>
    <n v="0"/>
    <n v="17"/>
    <n v="0"/>
    <n v="3"/>
    <n v="0"/>
    <n v="0"/>
    <s v="Weaver, Nicole"/>
    <n v="-83"/>
    <n v="0"/>
    <n v="0"/>
    <n v="1"/>
    <n v="1"/>
    <n v="16"/>
    <n v="25"/>
    <n v="1"/>
  </r>
  <r>
    <m/>
    <x v="4"/>
    <s v="A-493-0550"/>
    <s v="09K5"/>
    <x v="0"/>
    <d v="2024-11-18T00:00:00"/>
    <d v="2024-11-21T00:00:00"/>
    <m/>
    <d v="1899-12-30T08:00:00"/>
    <d v="1899-12-30T05:00:00"/>
    <n v="1600"/>
    <n v="1400"/>
    <d v="1899-12-30T03:00:00"/>
    <n v="2200"/>
    <s v="A. DeCastro"/>
    <s v="S. Griffin"/>
    <m/>
    <n v="45"/>
    <n v="32"/>
    <n v="4"/>
    <n v="845"/>
    <n v="43"/>
    <n v="3"/>
    <n v="44"/>
    <n v="0"/>
    <n v="4"/>
    <n v="0"/>
    <n v="0"/>
    <s v="Kollie, Sarah"/>
    <n v="-83"/>
    <n v="0"/>
    <n v="0"/>
    <n v="1"/>
    <n v="1"/>
    <n v="16"/>
    <n v="2"/>
    <n v="1"/>
  </r>
  <r>
    <m/>
    <x v="3"/>
    <s v="A-493-0078"/>
    <n v="1228"/>
    <x v="0"/>
    <d v="2024-11-18T00:00:00"/>
    <d v="2024-11-21T00:00:00"/>
    <m/>
    <d v="1899-12-30T07:00:00"/>
    <d v="1899-12-30T04:00:00"/>
    <n v="1500"/>
    <n v="1300"/>
    <d v="1899-12-30T02:00:00"/>
    <n v="2100"/>
    <s v="T. White"/>
    <m/>
    <m/>
    <n v="45"/>
    <n v="32"/>
    <n v="4"/>
    <n v="62"/>
    <n v="46"/>
    <n v="1"/>
    <n v="29"/>
    <n v="0"/>
    <n v="2"/>
    <n v="0"/>
    <n v="0"/>
    <s v="Kollie, Sarah"/>
    <n v="-83"/>
    <n v="0"/>
    <n v="0"/>
    <n v="1"/>
    <n v="0"/>
    <n v="32"/>
    <n v="-1"/>
    <n v="1"/>
  </r>
  <r>
    <m/>
    <x v="6"/>
    <s v="A-493-0085"/>
    <n v="3555"/>
    <x v="0"/>
    <d v="2024-11-18T00:00:00"/>
    <d v="2024-11-21T00:00:00"/>
    <m/>
    <n v="1200"/>
    <d v="1899-12-30T09:00:00"/>
    <n v="2000"/>
    <n v="1800"/>
    <d v="1899-12-30T07:00:00"/>
    <d v="1899-12-30T02:00:00"/>
    <s v="B. Jung"/>
    <s v="LT Andrew"/>
    <m/>
    <n v="45"/>
    <n v="32"/>
    <n v="4"/>
    <n v="503"/>
    <n v="19"/>
    <n v="0"/>
    <n v="26"/>
    <n v="1"/>
    <n v="4"/>
    <n v="0"/>
    <n v="0"/>
    <s v="Benzick, Sue"/>
    <n v="-83"/>
    <n v="0"/>
    <n v="0"/>
    <n v="1"/>
    <n v="1"/>
    <n v="16"/>
    <n v="26"/>
    <n v="1"/>
  </r>
  <r>
    <m/>
    <x v="1"/>
    <s v="A-570-0100"/>
    <s v="18B7"/>
    <x v="0"/>
    <d v="2024-11-18T00:00:00"/>
    <d v="2024-11-21T00:00:00"/>
    <m/>
    <d v="1899-12-30T08:00:00"/>
    <d v="1899-12-30T05:00:00"/>
    <n v="1600"/>
    <n v="1400"/>
    <d v="1899-12-30T03:00:00"/>
    <n v="2200"/>
    <s v="BMC Sosaya"/>
    <m/>
    <m/>
    <n v="45"/>
    <n v="16"/>
    <n v="2"/>
    <n v="404"/>
    <n v="25"/>
    <n v="0"/>
    <n v="20"/>
    <n v="1"/>
    <n v="8"/>
    <n v="0"/>
    <n v="0"/>
    <s v="Weaver, Nicole"/>
    <n v="-83"/>
    <n v="0"/>
    <n v="0"/>
    <n v="1"/>
    <n v="0"/>
    <n v="16"/>
    <n v="20"/>
    <n v="1"/>
  </r>
  <r>
    <m/>
    <x v="16"/>
    <s v="A-493-0072"/>
    <s v="713U"/>
    <x v="1"/>
    <d v="2024-11-18T00:00:00"/>
    <d v="2024-11-22T00:00:00"/>
    <d v="1899-12-30T08:00:00"/>
    <m/>
    <m/>
    <m/>
    <m/>
    <m/>
    <m/>
    <s v="A. Harris"/>
    <s v="K. Seo"/>
    <m/>
    <n v="30"/>
    <n v="40"/>
    <n v="5"/>
    <n v="170"/>
    <n v="30"/>
    <n v="1"/>
    <n v="26"/>
    <n v="0"/>
    <n v="5"/>
    <n v="2"/>
    <n v="0"/>
    <s v="Weaver, Nicole"/>
    <n v="-82"/>
    <n v="0"/>
    <n v="0"/>
    <n v="1"/>
    <n v="1"/>
    <n v="20"/>
    <n v="0"/>
    <n v="1"/>
  </r>
  <r>
    <m/>
    <x v="2"/>
    <s v="A-493-2098"/>
    <s v="09WW"/>
    <x v="0"/>
    <d v="2024-11-18T00:00:00"/>
    <d v="2024-11-22T00:00:00"/>
    <m/>
    <n v="1300"/>
    <n v="1000"/>
    <n v="2100"/>
    <n v="1900"/>
    <d v="1899-12-30T08:00:00"/>
    <d v="1899-12-30T03:00:00"/>
    <s v="BMC Sosaya"/>
    <m/>
    <m/>
    <n v="100"/>
    <n v="16"/>
    <n v="2"/>
    <n v="1432"/>
    <n v="100"/>
    <n v="5"/>
    <n v="86"/>
    <n v="1"/>
    <n v="18"/>
    <n v="3"/>
    <n v="0"/>
    <s v="Weaver, Nicole"/>
    <n v="-82"/>
    <n v="0"/>
    <n v="0"/>
    <n v="1"/>
    <n v="0"/>
    <n v="16"/>
    <n v="0"/>
    <n v="1"/>
  </r>
  <r>
    <m/>
    <x v="31"/>
    <s v="F-4J-0023"/>
    <s v="11A2"/>
    <x v="0"/>
    <d v="2024-11-18T00:00:00"/>
    <d v="2024-11-22T00:00:00"/>
    <m/>
    <n v="1300"/>
    <n v="1000"/>
    <n v="2100"/>
    <n v="1900"/>
    <d v="1899-12-30T08:00:00"/>
    <d v="1899-12-30T03:00:00"/>
    <s v="LT Andrew"/>
    <m/>
    <m/>
    <n v="45"/>
    <n v="16"/>
    <n v="2"/>
    <n v="70"/>
    <n v="16"/>
    <n v="0"/>
    <n v="16"/>
    <n v="0"/>
    <n v="3"/>
    <n v="0"/>
    <n v="0"/>
    <s v="Weaver, Nicole"/>
    <n v="-82"/>
    <n v="0"/>
    <n v="0"/>
    <n v="1"/>
    <n v="0"/>
    <n v="16"/>
    <n v="29"/>
    <n v="1"/>
  </r>
  <r>
    <m/>
    <x v="32"/>
    <s v="A-493-0099"/>
    <s v="12JW"/>
    <x v="0"/>
    <d v="2024-11-19T00:00:00"/>
    <d v="2024-11-21T00:00:00"/>
    <m/>
    <d v="1899-12-30T08:00:00"/>
    <d v="1899-12-30T05:00:00"/>
    <n v="1600"/>
    <n v="1400"/>
    <d v="1899-12-30T03:00:00"/>
    <n v="2200"/>
    <s v="V. Kentish"/>
    <m/>
    <m/>
    <n v="45"/>
    <n v="24"/>
    <n v="3"/>
    <n v="368"/>
    <n v="44"/>
    <n v="1"/>
    <n v="35"/>
    <n v="3"/>
    <n v="11"/>
    <n v="0"/>
    <n v="0"/>
    <s v="Kollie, Sarah"/>
    <n v="-83"/>
    <n v="0"/>
    <n v="0"/>
    <n v="1"/>
    <n v="0"/>
    <n v="24"/>
    <n v="1"/>
    <n v="1"/>
  </r>
  <r>
    <m/>
    <x v="33"/>
    <s v="A-493-0075 "/>
    <s v="714U"/>
    <x v="4"/>
    <d v="2024-11-19T00:00:00"/>
    <d v="2024-11-22T00:00:00"/>
    <d v="1899-12-30T08:00:00"/>
    <m/>
    <m/>
    <m/>
    <m/>
    <m/>
    <m/>
    <s v="SOH Contractor"/>
    <m/>
    <m/>
    <n v="30"/>
    <n v="32"/>
    <n v="4"/>
    <n v="61"/>
    <n v="5"/>
    <n v="0"/>
    <n v="5"/>
    <n v="0"/>
    <n v="2"/>
    <n v="0"/>
    <n v="0"/>
    <s v="Kollie, Sarah"/>
    <n v="-82"/>
    <n v="0"/>
    <n v="0"/>
    <n v="1"/>
    <n v="0"/>
    <n v="32"/>
    <n v="25"/>
    <n v="1"/>
  </r>
  <r>
    <m/>
    <x v="29"/>
    <s v="A-493-0216"/>
    <s v="12X8"/>
    <x v="10"/>
    <d v="2024-11-20T00:00:00"/>
    <d v="2024-11-20T00:00:00"/>
    <d v="1899-12-30T08:00:00"/>
    <m/>
    <m/>
    <m/>
    <m/>
    <m/>
    <m/>
    <s v="ENV Contractor"/>
    <m/>
    <m/>
    <n v="30"/>
    <n v="8"/>
    <n v="1"/>
    <n v="6"/>
    <n v="11"/>
    <n v="0"/>
    <n v="8"/>
    <n v="0"/>
    <n v="3"/>
    <n v="0"/>
    <n v="0"/>
    <s v="Weaver, Nicole"/>
    <n v="-84"/>
    <n v="0"/>
    <n v="0"/>
    <n v="1"/>
    <n v="0"/>
    <n v="8"/>
    <n v="19"/>
    <n v="1"/>
  </r>
  <r>
    <s v="Thanksgiving Potluck"/>
    <x v="8"/>
    <s v="Function"/>
    <s v="Function"/>
    <x v="1"/>
    <d v="2024-11-25T00:00:00"/>
    <d v="2024-11-25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79"/>
    <n v="0"/>
    <n v="0"/>
    <n v="0"/>
    <n v="0"/>
    <e v="#DIV/0!"/>
    <n v="0"/>
    <n v="1"/>
  </r>
  <r>
    <s v="Staff Training (RMI)"/>
    <x v="8"/>
    <s v="Function"/>
    <s v="Function"/>
    <x v="1"/>
    <d v="2024-11-26T00:00:00"/>
    <d v="2024-11-27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77"/>
    <n v="0"/>
    <n v="0"/>
    <n v="0"/>
    <n v="0"/>
    <e v="#DIV/0!"/>
    <n v="0"/>
    <n v="1"/>
  </r>
  <r>
    <s v="Thanksgiving"/>
    <x v="10"/>
    <s v="Holiday"/>
    <s v="Holiday"/>
    <x v="3"/>
    <d v="2024-11-28T00:00:00"/>
    <d v="2024-11-2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76"/>
    <n v="0"/>
    <n v="0"/>
    <n v="0"/>
    <n v="0"/>
    <e v="#DIV/0!"/>
    <n v="0"/>
    <n v="1"/>
  </r>
  <r>
    <m/>
    <x v="34"/>
    <s v="A-493-0103"/>
    <s v="12JY"/>
    <x v="11"/>
    <d v="2024-12-02T00:00:00"/>
    <d v="2024-12-06T00:00:00"/>
    <d v="1899-12-30T08:00:00"/>
    <m/>
    <m/>
    <m/>
    <m/>
    <m/>
    <m/>
    <s v="SOH Contractor"/>
    <m/>
    <m/>
    <n v="25"/>
    <n v="40"/>
    <n v="5"/>
    <n v="248"/>
    <n v="22"/>
    <n v="0"/>
    <n v="19"/>
    <n v="0"/>
    <n v="5"/>
    <n v="0"/>
    <n v="0"/>
    <s v="Kollie, Sarah"/>
    <n v="-68"/>
    <n v="0"/>
    <n v="0"/>
    <n v="1"/>
    <n v="0"/>
    <n v="40"/>
    <n v="3"/>
    <n v="1"/>
  </r>
  <r>
    <m/>
    <x v="34"/>
    <s v="A-493-0103"/>
    <s v="12JY"/>
    <x v="4"/>
    <d v="2024-12-02T00:00:00"/>
    <d v="2024-12-06T00:00:00"/>
    <d v="1899-12-30T08:00:00"/>
    <m/>
    <m/>
    <m/>
    <m/>
    <m/>
    <m/>
    <s v="SOH Contractor"/>
    <m/>
    <m/>
    <n v="25"/>
    <n v="40"/>
    <n v="5"/>
    <n v="332"/>
    <n v="22"/>
    <n v="0"/>
    <n v="21"/>
    <n v="0"/>
    <n v="3"/>
    <n v="0"/>
    <n v="0"/>
    <s v="Kollie, Sarah"/>
    <n v="-68"/>
    <n v="0"/>
    <n v="0"/>
    <n v="1"/>
    <n v="0"/>
    <n v="40"/>
    <n v="3"/>
    <n v="1"/>
  </r>
  <r>
    <m/>
    <x v="20"/>
    <s v="A-493-0061"/>
    <s v="288E"/>
    <x v="0"/>
    <d v="2024-12-02T00:00:00"/>
    <d v="2024-12-05T00:00:00"/>
    <m/>
    <d v="1899-12-30T07:00:00"/>
    <d v="1899-12-30T04:00:00"/>
    <n v="1500"/>
    <n v="1300"/>
    <d v="1899-12-30T02:00:00"/>
    <n v="2100"/>
    <s v="S. Griffin"/>
    <m/>
    <m/>
    <n v="45"/>
    <n v="30"/>
    <n v="4"/>
    <n v="59"/>
    <n v="39"/>
    <n v="0"/>
    <n v="33"/>
    <n v="0"/>
    <n v="7"/>
    <n v="0"/>
    <n v="0"/>
    <s v="Kollie, Sarah"/>
    <n v="-69"/>
    <n v="0"/>
    <n v="0"/>
    <n v="1"/>
    <n v="0"/>
    <n v="30"/>
    <n v="6"/>
    <n v="1"/>
  </r>
  <r>
    <m/>
    <x v="0"/>
    <s v="A-322-2604"/>
    <s v="10ZZ"/>
    <x v="0"/>
    <d v="2024-12-02T00:00:00"/>
    <d v="2024-12-06T00:00:00"/>
    <m/>
    <n v="1300"/>
    <n v="1000"/>
    <n v="2100"/>
    <n v="1900"/>
    <d v="1899-12-30T08:00:00"/>
    <d v="1899-12-30T03:00:00"/>
    <s v="LS1 Scoggins"/>
    <m/>
    <m/>
    <n v="45"/>
    <n v="24"/>
    <n v="3"/>
    <n v="634"/>
    <n v="40"/>
    <n v="3"/>
    <n v="29"/>
    <n v="1"/>
    <n v="5"/>
    <n v="0"/>
    <n v="0"/>
    <s v="Benzick, Sue"/>
    <n v="-68"/>
    <n v="0"/>
    <n v="0"/>
    <n v="1"/>
    <n v="0"/>
    <n v="24"/>
    <n v="5"/>
    <n v="1"/>
  </r>
  <r>
    <m/>
    <x v="4"/>
    <s v="A-493-0550"/>
    <s v="09K5"/>
    <x v="0"/>
    <d v="2024-12-02T00:00:00"/>
    <d v="2024-12-05T00:00:00"/>
    <m/>
    <d v="1899-12-30T08:00:00"/>
    <d v="1899-12-30T05:00:00"/>
    <n v="1600"/>
    <n v="1400"/>
    <d v="1899-12-30T03:00:00"/>
    <n v="2200"/>
    <s v="A. DeCastro"/>
    <s v="T. White"/>
    <m/>
    <n v="45"/>
    <n v="32"/>
    <n v="4"/>
    <n v="845"/>
    <n v="45"/>
    <n v="5"/>
    <n v="40"/>
    <n v="0"/>
    <n v="10"/>
    <n v="0"/>
    <n v="0"/>
    <s v="Kollie, Sarah"/>
    <n v="-69"/>
    <n v="0"/>
    <n v="0"/>
    <n v="1"/>
    <n v="1"/>
    <n v="16"/>
    <n v="0"/>
    <n v="1"/>
  </r>
  <r>
    <m/>
    <x v="1"/>
    <s v="A-570-0100"/>
    <s v="18B7"/>
    <x v="0"/>
    <d v="2024-12-02T00:00:00"/>
    <d v="2024-12-05T00:00:00"/>
    <m/>
    <n v="1300"/>
    <n v="1000"/>
    <n v="2100"/>
    <n v="1900"/>
    <d v="1899-12-30T08:00:00"/>
    <d v="1899-12-30T03:00:00"/>
    <s v="BMC Sosaya"/>
    <m/>
    <m/>
    <n v="45"/>
    <n v="16"/>
    <n v="2"/>
    <n v="621"/>
    <n v="27"/>
    <n v="0"/>
    <n v="22"/>
    <n v="0"/>
    <n v="5"/>
    <n v="0"/>
    <n v="0"/>
    <s v="Weaver, Nicole"/>
    <n v="-69"/>
    <n v="0"/>
    <n v="0"/>
    <n v="1"/>
    <n v="0"/>
    <n v="16"/>
    <n v="18"/>
    <n v="1"/>
  </r>
  <r>
    <m/>
    <x v="16"/>
    <s v="A-493-0072"/>
    <s v="713U"/>
    <x v="12"/>
    <d v="2024-12-02T00:00:00"/>
    <d v="2024-12-06T00:00:00"/>
    <d v="1899-12-30T08:00:00"/>
    <m/>
    <m/>
    <m/>
    <m/>
    <m/>
    <m/>
    <s v="A. Harris"/>
    <s v="LTJG Bozenski"/>
    <m/>
    <n v="30"/>
    <n v="40"/>
    <n v="5"/>
    <n v="32"/>
    <n v="19"/>
    <n v="0"/>
    <n v="30"/>
    <n v="0"/>
    <n v="1"/>
    <n v="2"/>
    <n v="0"/>
    <s v="Benzick, Sue"/>
    <n v="-68"/>
    <n v="0"/>
    <n v="0"/>
    <n v="1"/>
    <n v="1"/>
    <n v="20"/>
    <n v="11"/>
    <n v="1"/>
  </r>
  <r>
    <m/>
    <x v="32"/>
    <s v="A-493-0099"/>
    <s v="12JW"/>
    <x v="0"/>
    <d v="2024-12-03T00:00:00"/>
    <d v="2024-12-05T00:00:00"/>
    <m/>
    <d v="1899-12-30T08:00:00"/>
    <d v="1899-12-30T05:00:00"/>
    <n v="1600"/>
    <n v="1400"/>
    <d v="1899-12-30T03:00:00"/>
    <n v="2200"/>
    <s v="V. Kentish"/>
    <m/>
    <m/>
    <n v="45"/>
    <n v="24"/>
    <n v="3"/>
    <n v="368"/>
    <n v="45"/>
    <n v="4"/>
    <n v="33"/>
    <n v="0"/>
    <n v="17"/>
    <n v="4"/>
    <n v="0"/>
    <s v="Kollie, Sarah"/>
    <n v="-69"/>
    <n v="0"/>
    <n v="0"/>
    <n v="1"/>
    <n v="0"/>
    <n v="24"/>
    <n v="0"/>
    <n v="1"/>
  </r>
  <r>
    <m/>
    <x v="26"/>
    <s v="A-4J-0022"/>
    <s v="09ER"/>
    <x v="0"/>
    <d v="2024-12-09T00:00:00"/>
    <d v="2024-12-13T00:00:00"/>
    <m/>
    <d v="1899-12-30T08:00:00"/>
    <d v="1899-12-30T05:00:00"/>
    <n v="1600"/>
    <n v="1400"/>
    <d v="1899-12-30T03:00:00"/>
    <n v="2200"/>
    <s v="K. Seo"/>
    <m/>
    <m/>
    <n v="45"/>
    <n v="16"/>
    <n v="2"/>
    <n v="85"/>
    <n v="23"/>
    <n v="0"/>
    <n v="23"/>
    <n v="0"/>
    <n v="1"/>
    <n v="1"/>
    <n v="0"/>
    <s v="Weaver, Nicole"/>
    <n v="-61"/>
    <n v="0"/>
    <n v="0"/>
    <n v="1"/>
    <n v="0"/>
    <n v="16"/>
    <n v="22"/>
    <n v="1"/>
  </r>
  <r>
    <m/>
    <x v="30"/>
    <s v="A-493-0665"/>
    <s v="10KW"/>
    <x v="0"/>
    <d v="2024-12-09T00:00:00"/>
    <d v="2024-12-13T00:00:00"/>
    <m/>
    <d v="1899-12-30T08:00:00"/>
    <d v="1899-12-30T05:00:00"/>
    <n v="1600"/>
    <n v="1400"/>
    <d v="1899-12-30T03:00:00"/>
    <n v="2200"/>
    <s v="EMC Stroughn"/>
    <m/>
    <m/>
    <n v="45"/>
    <n v="24"/>
    <n v="3"/>
    <n v="172"/>
    <n v="39"/>
    <n v="0"/>
    <n v="31"/>
    <n v="0"/>
    <n v="1"/>
    <n v="0"/>
    <n v="0"/>
    <s v="Weaver, Nicole"/>
    <n v="-61"/>
    <n v="0"/>
    <n v="0"/>
    <n v="1"/>
    <n v="0"/>
    <n v="24"/>
    <n v="6"/>
    <n v="1"/>
  </r>
  <r>
    <s v="TMC Newman/ ALDC"/>
    <x v="12"/>
    <s v="Reserved"/>
    <s v="Reserved "/>
    <x v="1"/>
    <d v="2024-12-09T00:00:00"/>
    <d v="2024-12-13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61"/>
    <n v="0"/>
    <n v="0"/>
    <n v="0"/>
    <n v="0"/>
    <e v="#DIV/0!"/>
    <n v="0"/>
    <n v="1"/>
  </r>
  <r>
    <m/>
    <x v="34"/>
    <s v="A-493-0103"/>
    <s v="12JY"/>
    <x v="5"/>
    <d v="2024-12-09T00:00:00"/>
    <d v="2024-12-13T00:00:00"/>
    <d v="1899-12-30T08:00:00"/>
    <m/>
    <m/>
    <m/>
    <m/>
    <m/>
    <m/>
    <s v="SOH Contractor"/>
    <m/>
    <m/>
    <n v="25"/>
    <n v="40"/>
    <n v="5"/>
    <n v="86"/>
    <n v="24"/>
    <n v="0"/>
    <n v="15"/>
    <n v="0"/>
    <n v="8"/>
    <n v="0"/>
    <n v="0"/>
    <s v="Kollie, Sarah"/>
    <n v="-61"/>
    <n v="0"/>
    <n v="0"/>
    <n v="1"/>
    <n v="0"/>
    <n v="40"/>
    <n v="1"/>
    <n v="1"/>
  </r>
  <r>
    <m/>
    <x v="34"/>
    <s v="A-493-0103"/>
    <s v="12JY"/>
    <x v="11"/>
    <d v="2024-12-09T00:00:00"/>
    <d v="2024-12-13T00:00:00"/>
    <d v="1899-12-30T08:00:00"/>
    <m/>
    <m/>
    <m/>
    <m/>
    <m/>
    <m/>
    <s v="SOH Contractor"/>
    <m/>
    <m/>
    <n v="25"/>
    <n v="40"/>
    <n v="5"/>
    <n v="248"/>
    <n v="25"/>
    <n v="0"/>
    <n v="20"/>
    <n v="0"/>
    <n v="4"/>
    <n v="0"/>
    <n v="0"/>
    <s v="Kollie, Sarah"/>
    <n v="-61"/>
    <n v="0"/>
    <n v="0"/>
    <n v="1"/>
    <n v="0"/>
    <n v="40"/>
    <n v="0"/>
    <n v="1"/>
  </r>
  <r>
    <m/>
    <x v="3"/>
    <s v="A-493-0078"/>
    <n v="1228"/>
    <x v="0"/>
    <d v="2024-12-09T00:00:00"/>
    <d v="2024-12-12T00:00:00"/>
    <m/>
    <d v="1899-12-30T08:00:00"/>
    <d v="1899-12-30T05:00:00"/>
    <n v="1600"/>
    <n v="1400"/>
    <d v="1899-12-30T03:00:00"/>
    <n v="2200"/>
    <s v="T. White"/>
    <m/>
    <m/>
    <n v="45"/>
    <n v="32"/>
    <n v="4"/>
    <n v="508"/>
    <n v="45"/>
    <n v="2"/>
    <n v="38"/>
    <n v="0"/>
    <n v="9"/>
    <n v="2"/>
    <n v="0"/>
    <s v="Kollie, Sarah"/>
    <n v="-62"/>
    <n v="0"/>
    <n v="0"/>
    <n v="1"/>
    <n v="0"/>
    <n v="32"/>
    <n v="0"/>
    <n v="1"/>
  </r>
  <r>
    <m/>
    <x v="35"/>
    <s v="A-4J-0019"/>
    <s v="28SL/285M"/>
    <x v="13"/>
    <d v="2024-12-09T00:00:00"/>
    <d v="2024-12-13T00:00:00"/>
    <d v="1899-12-30T08:00:00"/>
    <m/>
    <m/>
    <m/>
    <m/>
    <m/>
    <m/>
    <s v="J. Wilson"/>
    <s v="M. Bailey "/>
    <m/>
    <n v="20"/>
    <n v="40"/>
    <n v="5"/>
    <n v="351"/>
    <n v="19"/>
    <n v="0"/>
    <n v="19"/>
    <n v="0"/>
    <n v="0"/>
    <n v="0"/>
    <n v="0"/>
    <s v="Benzick, Sue"/>
    <n v="-61"/>
    <n v="0"/>
    <n v="0"/>
    <n v="1"/>
    <n v="1"/>
    <n v="20"/>
    <n v="1"/>
    <n v="1"/>
  </r>
  <r>
    <m/>
    <x v="2"/>
    <s v="A-493-2098"/>
    <s v="09WW"/>
    <x v="0"/>
    <d v="2024-12-09T00:00:00"/>
    <d v="2024-12-13T00:00:00"/>
    <m/>
    <n v="1300"/>
    <n v="1000"/>
    <n v="2100"/>
    <n v="1900"/>
    <d v="1899-12-30T08:00:00"/>
    <d v="1899-12-30T03:00:00"/>
    <s v="EMC Stroughn"/>
    <m/>
    <m/>
    <n v="100"/>
    <n v="16"/>
    <n v="2"/>
    <n v="1432"/>
    <n v="80"/>
    <n v="0"/>
    <n v="68"/>
    <n v="1"/>
    <n v="13"/>
    <n v="0"/>
    <n v="0"/>
    <s v="Weaver, Nicole"/>
    <n v="-61"/>
    <n v="0"/>
    <n v="0"/>
    <n v="1"/>
    <n v="0"/>
    <n v="16"/>
    <n v="20"/>
    <n v="1"/>
  </r>
  <r>
    <m/>
    <x v="33"/>
    <s v="A-493-0075 "/>
    <s v="714U"/>
    <x v="14"/>
    <d v="2024-12-10T00:00:00"/>
    <d v="2024-12-13T00:00:00"/>
    <d v="1899-12-30T08:00:00"/>
    <m/>
    <m/>
    <m/>
    <m/>
    <m/>
    <m/>
    <s v="SOH Contractor"/>
    <m/>
    <m/>
    <n v="30"/>
    <n v="32"/>
    <n v="4"/>
    <n v="19"/>
    <n v="6"/>
    <n v="0"/>
    <n v="6"/>
    <n v="0"/>
    <n v="1"/>
    <n v="1"/>
    <n v="0"/>
    <s v="Kollie, Sarah"/>
    <n v="-61"/>
    <n v="0"/>
    <n v="0"/>
    <n v="1"/>
    <n v="0"/>
    <n v="32"/>
    <n v="24"/>
    <n v="1"/>
  </r>
  <r>
    <m/>
    <x v="13"/>
    <s v="A-493-0331"/>
    <s v="10UG"/>
    <x v="0"/>
    <d v="2024-12-10T00:00:00"/>
    <d v="2024-12-12T00:00:00"/>
    <m/>
    <n v="1200"/>
    <d v="1899-12-30T09:00:00"/>
    <n v="2000"/>
    <n v="1800"/>
    <d v="1899-12-30T07:00:00"/>
    <d v="1899-12-30T02:00:00"/>
    <s v="W. Mitchell"/>
    <s v="K. Seo"/>
    <m/>
    <n v="45"/>
    <n v="24"/>
    <n v="3"/>
    <n v="805"/>
    <n v="44"/>
    <n v="5"/>
    <n v="42"/>
    <n v="2"/>
    <n v="7"/>
    <n v="2"/>
    <n v="0"/>
    <s v="Kollie, Sarah"/>
    <n v="-62"/>
    <n v="0"/>
    <n v="0"/>
    <n v="1"/>
    <n v="1"/>
    <n v="12"/>
    <n v="1"/>
    <n v="1"/>
  </r>
  <r>
    <m/>
    <x v="34"/>
    <s v="A-493-0103"/>
    <s v="12JY"/>
    <x v="11"/>
    <d v="2024-12-16T00:00:00"/>
    <d v="2024-12-20T00:00:00"/>
    <d v="1899-12-30T08:00:00"/>
    <m/>
    <m/>
    <m/>
    <m/>
    <m/>
    <m/>
    <s v="SOH Contractor"/>
    <m/>
    <m/>
    <n v="25"/>
    <n v="40"/>
    <n v="5"/>
    <n v="248"/>
    <n v="24"/>
    <n v="0"/>
    <n v="25"/>
    <n v="0"/>
    <n v="1"/>
    <n v="2"/>
    <n v="0"/>
    <s v="Kollie, Sarah"/>
    <n v="-54"/>
    <n v="0"/>
    <n v="0"/>
    <n v="1"/>
    <n v="0"/>
    <n v="40"/>
    <n v="1"/>
    <n v="1"/>
  </r>
  <r>
    <m/>
    <x v="34"/>
    <s v="A-493-0103"/>
    <s v="12JY"/>
    <x v="4"/>
    <d v="2024-12-16T00:00:00"/>
    <d v="2024-12-20T00:00:00"/>
    <d v="1899-12-30T08:00:00"/>
    <m/>
    <m/>
    <m/>
    <m/>
    <m/>
    <m/>
    <s v="SOH Contractor"/>
    <m/>
    <m/>
    <n v="25"/>
    <n v="40"/>
    <n v="5"/>
    <n v="332"/>
    <n v="22"/>
    <n v="0"/>
    <n v="21"/>
    <n v="0"/>
    <n v="0"/>
    <n v="0"/>
    <n v="0"/>
    <s v="Kollie, Sarah"/>
    <n v="-54"/>
    <n v="0"/>
    <n v="0"/>
    <n v="1"/>
    <n v="0"/>
    <n v="40"/>
    <n v="3"/>
    <n v="1"/>
  </r>
  <r>
    <m/>
    <x v="4"/>
    <s v="A-493-0550"/>
    <s v="09K5"/>
    <x v="0"/>
    <d v="2024-12-16T00:00:00"/>
    <d v="2024-12-19T00:00:00"/>
    <m/>
    <n v="1300"/>
    <n v="1000"/>
    <n v="2100"/>
    <n v="1900"/>
    <d v="1899-12-30T08:00:00"/>
    <d v="1899-12-30T03:00:00"/>
    <s v="A. DeCastro"/>
    <m/>
    <m/>
    <n v="45"/>
    <n v="32"/>
    <n v="4"/>
    <n v="949"/>
    <n v="45"/>
    <n v="5"/>
    <n v="41"/>
    <n v="0"/>
    <n v="8"/>
    <n v="2"/>
    <n v="0"/>
    <s v="Kollie, Sarah"/>
    <n v="-55"/>
    <n v="0"/>
    <n v="0"/>
    <n v="1"/>
    <n v="0"/>
    <n v="32"/>
    <n v="0"/>
    <n v="1"/>
  </r>
  <r>
    <s v="Staff Training (RMI)"/>
    <x v="8"/>
    <s v="Function"/>
    <s v="Function"/>
    <x v="1"/>
    <d v="2024-12-17T00:00:00"/>
    <d v="2024-12-1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56"/>
    <n v="0"/>
    <n v="0"/>
    <n v="0"/>
    <n v="0"/>
    <e v="#DIV/0!"/>
    <n v="0"/>
    <n v="1"/>
  </r>
  <r>
    <s v="Christmas Function"/>
    <x v="8"/>
    <s v="Function"/>
    <s v="Function"/>
    <x v="1"/>
    <d v="2024-12-19T00:00:00"/>
    <d v="2024-12-1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55"/>
    <n v="0"/>
    <n v="0"/>
    <n v="0"/>
    <n v="0"/>
    <e v="#DIV/0!"/>
    <n v="0"/>
    <n v="1"/>
  </r>
  <r>
    <s v="Christmas Day"/>
    <x v="10"/>
    <s v="Holiday"/>
    <s v="Holiday"/>
    <x v="3"/>
    <d v="2024-12-25T00:00:00"/>
    <d v="2024-12-25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49"/>
    <n v="0"/>
    <n v="0"/>
    <n v="0"/>
    <n v="0"/>
    <e v="#DIV/0!"/>
    <n v="0"/>
    <n v="1"/>
  </r>
  <r>
    <s v="New Year's Day"/>
    <x v="10"/>
    <s v="Holiday"/>
    <s v="Holiday"/>
    <x v="3"/>
    <d v="2025-01-01T00:00:00"/>
    <d v="2025-01-0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42"/>
    <n v="0"/>
    <n v="0"/>
    <n v="0"/>
    <n v="0"/>
    <e v="#DIV/0!"/>
    <n v="0"/>
    <n v="2"/>
  </r>
  <r>
    <m/>
    <x v="2"/>
    <s v="A-493-2098"/>
    <s v="09WW"/>
    <x v="0"/>
    <d v="2025-01-05T00:00:00"/>
    <d v="2025-01-06T00:00:00"/>
    <m/>
    <n v="1900"/>
    <n v="1600"/>
    <d v="1899-12-30T03:00:00"/>
    <d v="1899-12-30T01:00:00"/>
    <n v="1400"/>
    <d v="1899-12-30T09:00:00"/>
    <s v="EMC Stroughn"/>
    <m/>
    <m/>
    <n v="100"/>
    <n v="16"/>
    <n v="2"/>
    <n v="161"/>
    <n v="97"/>
    <n v="3"/>
    <n v="76"/>
    <n v="1"/>
    <n v="22"/>
    <n v="0"/>
    <n v="0"/>
    <s v="Weaver, Nicole"/>
    <n v="-37"/>
    <n v="0"/>
    <n v="0"/>
    <n v="1"/>
    <n v="0"/>
    <n v="16"/>
    <n v="3"/>
    <n v="2"/>
  </r>
  <r>
    <m/>
    <x v="34"/>
    <s v="A-493-0103"/>
    <s v="12JY"/>
    <x v="15"/>
    <d v="2025-01-06T00:00:00"/>
    <d v="2025-01-10T00:00:00"/>
    <d v="1899-12-30T08:00:00"/>
    <m/>
    <m/>
    <m/>
    <m/>
    <m/>
    <m/>
    <s v="SOH Contractor"/>
    <m/>
    <m/>
    <n v="25"/>
    <n v="40"/>
    <n v="5"/>
    <n v="155"/>
    <n v="11"/>
    <n v="0"/>
    <n v="8"/>
    <n v="0"/>
    <n v="4"/>
    <n v="1"/>
    <n v="0"/>
    <s v="Kollie, Sarah"/>
    <n v="-33"/>
    <n v="0"/>
    <n v="0"/>
    <n v="1"/>
    <n v="0"/>
    <n v="40"/>
    <n v="14"/>
    <n v="2"/>
  </r>
  <r>
    <m/>
    <x v="34"/>
    <s v="A-493-0103"/>
    <s v="12JY"/>
    <x v="1"/>
    <d v="2025-01-06T00:00:00"/>
    <d v="2025-01-10T00:00:00"/>
    <d v="1899-12-30T08:00:00"/>
    <m/>
    <m/>
    <m/>
    <m/>
    <m/>
    <m/>
    <s v="SOH Contractor"/>
    <m/>
    <m/>
    <n v="25"/>
    <n v="40"/>
    <n v="5"/>
    <n v="332"/>
    <n v="28"/>
    <n v="3"/>
    <n v="23"/>
    <n v="0"/>
    <n v="2"/>
    <n v="0"/>
    <n v="0"/>
    <s v="Kollie, Sarah"/>
    <n v="-33"/>
    <n v="0"/>
    <n v="0"/>
    <n v="1"/>
    <n v="0"/>
    <n v="40"/>
    <n v="-3"/>
    <n v="2"/>
  </r>
  <r>
    <m/>
    <x v="9"/>
    <s v="A-493-0012"/>
    <n v="3682"/>
    <x v="16"/>
    <d v="2025-01-06T00:00:00"/>
    <d v="2025-01-10T00:00:00"/>
    <d v="1899-12-30T08:00:00"/>
    <m/>
    <m/>
    <m/>
    <m/>
    <m/>
    <m/>
    <s v="ENV Contractor"/>
    <m/>
    <m/>
    <n v="40"/>
    <n v="40"/>
    <n v="5"/>
    <n v="2"/>
    <n v="26"/>
    <n v="0"/>
    <n v="23"/>
    <n v="0"/>
    <n v="3"/>
    <n v="0"/>
    <n v="23"/>
    <s v="Weaver, Nicole"/>
    <n v="-33"/>
    <n v="0"/>
    <n v="0"/>
    <n v="1"/>
    <n v="0"/>
    <n v="40"/>
    <n v="14"/>
    <n v="2"/>
  </r>
  <r>
    <m/>
    <x v="0"/>
    <s v="A-322-2604"/>
    <s v="10ZZ"/>
    <x v="0"/>
    <d v="2025-01-06T00:00:00"/>
    <d v="2025-01-08T00:00:00"/>
    <m/>
    <n v="1200"/>
    <d v="1899-12-30T09:00:00"/>
    <n v="2000"/>
    <n v="1800"/>
    <d v="1899-12-30T07:00:00"/>
    <d v="1899-12-30T02:00:00"/>
    <s v="LS1 Scoggins"/>
    <s v="LSC Kitivi"/>
    <m/>
    <n v="45"/>
    <n v="24"/>
    <n v="3"/>
    <n v="634"/>
    <n v="43"/>
    <n v="3"/>
    <n v="38"/>
    <n v="0"/>
    <n v="6"/>
    <n v="0"/>
    <n v="0"/>
    <s v="Benzick, Sue"/>
    <n v="-35"/>
    <n v="0"/>
    <n v="0"/>
    <n v="1"/>
    <n v="1"/>
    <n v="12"/>
    <n v="2"/>
    <n v="2"/>
  </r>
  <r>
    <m/>
    <x v="14"/>
    <s v="A-493-0335"/>
    <s v="09ND"/>
    <x v="0"/>
    <d v="2025-01-06T00:00:00"/>
    <d v="2025-01-09T00:00:00"/>
    <m/>
    <n v="1200"/>
    <d v="1899-12-30T09:00:00"/>
    <n v="2000"/>
    <n v="1800"/>
    <d v="1899-12-30T07:00:00"/>
    <d v="1899-12-30T02:00:00"/>
    <s v="A. Harris"/>
    <m/>
    <m/>
    <n v="45"/>
    <n v="32"/>
    <n v="4"/>
    <n v="400"/>
    <n v="20"/>
    <n v="0"/>
    <n v="18"/>
    <n v="0"/>
    <n v="2"/>
    <n v="0"/>
    <n v="0"/>
    <s v="Benzick, Sue"/>
    <n v="-34"/>
    <n v="0"/>
    <n v="0"/>
    <n v="1"/>
    <n v="0"/>
    <n v="32"/>
    <n v="25"/>
    <n v="2"/>
  </r>
  <r>
    <m/>
    <x v="1"/>
    <s v="A-570-0100"/>
    <s v="18B7"/>
    <x v="0"/>
    <d v="2025-01-06T00:00:00"/>
    <d v="2025-01-07T00:00:00"/>
    <m/>
    <n v="1200"/>
    <d v="1899-12-30T09:00:00"/>
    <n v="2000"/>
    <n v="1800"/>
    <d v="1899-12-30T07:00:00"/>
    <d v="1899-12-30T02:00:00"/>
    <s v="BMC Sosaya"/>
    <m/>
    <m/>
    <n v="45"/>
    <n v="16"/>
    <n v="2"/>
    <n v="621"/>
    <n v="21"/>
    <n v="0"/>
    <n v="18"/>
    <n v="0"/>
    <n v="3"/>
    <n v="0"/>
    <n v="0"/>
    <s v="Weaver, Nicole"/>
    <n v="-36"/>
    <n v="0"/>
    <n v="0"/>
    <n v="1"/>
    <n v="0"/>
    <n v="16"/>
    <n v="24"/>
    <n v="2"/>
  </r>
  <r>
    <m/>
    <x v="16"/>
    <s v="A-493-0072"/>
    <s v="713U"/>
    <x v="15"/>
    <d v="2025-01-06T00:00:00"/>
    <d v="2024-01-10T00:00:00"/>
    <d v="1899-12-30T08:00:00"/>
    <m/>
    <m/>
    <m/>
    <m/>
    <m/>
    <m/>
    <s v="B. Jung"/>
    <s v="LTJG Bozenski"/>
    <m/>
    <n v="30"/>
    <n v="40"/>
    <n v="5"/>
    <n v="152"/>
    <n v="12"/>
    <n v="0"/>
    <n v="12"/>
    <n v="0"/>
    <n v="1"/>
    <n v="2"/>
    <n v="0"/>
    <s v="Benzick, Sue"/>
    <n v="-399"/>
    <n v="0"/>
    <n v="0"/>
    <n v="1"/>
    <n v="1"/>
    <n v="20"/>
    <n v="18"/>
    <n v="2"/>
  </r>
  <r>
    <m/>
    <x v="13"/>
    <s v="A-493-0331"/>
    <s v="10UG"/>
    <x v="0"/>
    <d v="2025-01-07T00:00:00"/>
    <d v="2025-01-09T00:00:00"/>
    <m/>
    <n v="1200"/>
    <d v="1899-12-30T09:00:00"/>
    <n v="2000"/>
    <n v="1800"/>
    <d v="1899-12-30T07:00:00"/>
    <d v="1899-12-30T02:00:00"/>
    <s v="W. Mitchell"/>
    <m/>
    <m/>
    <n v="45"/>
    <n v="24"/>
    <n v="3"/>
    <n v="805"/>
    <n v="45"/>
    <n v="4"/>
    <n v="41"/>
    <n v="0"/>
    <n v="7"/>
    <n v="5"/>
    <n v="0"/>
    <s v="Benzick, Sue"/>
    <n v="-34"/>
    <n v="0"/>
    <n v="0"/>
    <n v="1"/>
    <n v="0"/>
    <n v="24"/>
    <n v="0"/>
    <n v="2"/>
  </r>
  <r>
    <s v="Jimmy Carter"/>
    <x v="10"/>
    <s v="Holiday"/>
    <s v="Holiday"/>
    <x v="3"/>
    <d v="2025-01-09T00:00:00"/>
    <d v="2025-01-0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34"/>
    <n v="0"/>
    <n v="0"/>
    <n v="0"/>
    <n v="0"/>
    <e v="#DIV/0!"/>
    <n v="0"/>
    <n v="2"/>
  </r>
  <r>
    <m/>
    <x v="30"/>
    <s v="A-493-0665"/>
    <s v="10KW"/>
    <x v="0"/>
    <d v="2025-01-13T00:00:00"/>
    <d v="2025-01-15T00:00:00"/>
    <m/>
    <n v="1200"/>
    <d v="1899-12-30T09:00:00"/>
    <n v="2000"/>
    <n v="1800"/>
    <d v="1899-12-30T07:00:00"/>
    <d v="1899-12-30T02:00:00"/>
    <s v="LSC Kitivi"/>
    <m/>
    <m/>
    <n v="45"/>
    <n v="24"/>
    <n v="3"/>
    <n v="405"/>
    <n v="29"/>
    <n v="0"/>
    <n v="27"/>
    <n v="0"/>
    <n v="4"/>
    <n v="0"/>
    <n v="0"/>
    <s v="Weaver, Nicole"/>
    <n v="-28"/>
    <n v="0"/>
    <n v="0"/>
    <n v="1"/>
    <n v="0"/>
    <n v="24"/>
    <n v="16"/>
    <n v="2"/>
  </r>
  <r>
    <m/>
    <x v="34"/>
    <s v="A-493-0103"/>
    <s v="12JY"/>
    <x v="1"/>
    <d v="2025-01-13T00:00:00"/>
    <d v="2025-01-17T00:00:00"/>
    <d v="1899-12-30T08:00:00"/>
    <m/>
    <m/>
    <m/>
    <m/>
    <m/>
    <m/>
    <s v="SOH Contractor"/>
    <m/>
    <m/>
    <n v="25"/>
    <n v="40"/>
    <n v="5"/>
    <n v="332"/>
    <n v="29"/>
    <n v="4"/>
    <n v="23"/>
    <n v="0"/>
    <n v="4"/>
    <n v="0"/>
    <n v="0"/>
    <s v="Kollie, Sarah"/>
    <n v="-26"/>
    <n v="0"/>
    <n v="0"/>
    <n v="1"/>
    <n v="0"/>
    <n v="40"/>
    <n v="-4"/>
    <n v="2"/>
  </r>
  <r>
    <m/>
    <x v="34"/>
    <s v="A-493-0103"/>
    <s v="12JY"/>
    <x v="15"/>
    <d v="2025-01-13T00:00:00"/>
    <d v="2025-01-17T00:00:00"/>
    <d v="1899-12-30T08:00:00"/>
    <m/>
    <m/>
    <m/>
    <m/>
    <m/>
    <m/>
    <s v="SOH Contractor"/>
    <m/>
    <m/>
    <n v="25"/>
    <n v="40"/>
    <n v="5"/>
    <n v="155"/>
    <n v="8"/>
    <n v="0"/>
    <n v="7"/>
    <n v="0"/>
    <n v="1"/>
    <n v="0"/>
    <n v="0"/>
    <s v="Kollie, Sarah"/>
    <n v="-26"/>
    <n v="0"/>
    <n v="0"/>
    <n v="1"/>
    <n v="0"/>
    <n v="40"/>
    <n v="17"/>
    <n v="2"/>
  </r>
  <r>
    <m/>
    <x v="19"/>
    <s v="A-493-0030"/>
    <s v="286X"/>
    <x v="14"/>
    <d v="2025-01-13T00:00:00"/>
    <d v="2025-01-17T00:00:00"/>
    <d v="1899-12-30T08:00:00"/>
    <m/>
    <m/>
    <m/>
    <m/>
    <m/>
    <m/>
    <s v="OH Contractor"/>
    <m/>
    <m/>
    <n v="25"/>
    <n v="40"/>
    <n v="5"/>
    <n v="17"/>
    <n v="20"/>
    <n v="0"/>
    <n v="17"/>
    <n v="1"/>
    <n v="4"/>
    <n v="0"/>
    <n v="0"/>
    <s v="Benzick, Sue"/>
    <n v="-26"/>
    <n v="0"/>
    <n v="0"/>
    <n v="1"/>
    <n v="0"/>
    <n v="40"/>
    <n v="5"/>
    <n v="2"/>
  </r>
  <r>
    <m/>
    <x v="9"/>
    <s v="A-493-0012"/>
    <n v="3682"/>
    <x v="15"/>
    <d v="2025-01-13T00:00:00"/>
    <d v="2025-01-17T00:00:00"/>
    <d v="1899-12-30T08:00:00"/>
    <m/>
    <m/>
    <m/>
    <m/>
    <m/>
    <m/>
    <s v="ENV Contractor"/>
    <m/>
    <m/>
    <n v="40"/>
    <n v="40"/>
    <n v="5"/>
    <n v="27"/>
    <n v="39"/>
    <n v="0"/>
    <n v="35"/>
    <n v="0"/>
    <n v="4"/>
    <n v="0"/>
    <n v="0"/>
    <s v="Weaver, Nicole"/>
    <n v="-26"/>
    <n v="0"/>
    <n v="0"/>
    <n v="1"/>
    <n v="0"/>
    <n v="40"/>
    <n v="1"/>
    <n v="2"/>
  </r>
  <r>
    <m/>
    <x v="20"/>
    <s v="A-493-0061"/>
    <s v="288E"/>
    <x v="0"/>
    <d v="2025-01-13T00:00:00"/>
    <d v="2025-01-16T00:00:00"/>
    <m/>
    <n v="1900"/>
    <n v="1600"/>
    <d v="1899-12-30T03:00:00"/>
    <d v="1899-12-30T01:00:00"/>
    <n v="1400"/>
    <d v="1899-12-30T09:00:00"/>
    <s v="S. Griffin"/>
    <m/>
    <m/>
    <n v="45"/>
    <n v="30"/>
    <n v="4"/>
    <n v="119"/>
    <n v="30"/>
    <n v="0"/>
    <n v="25"/>
    <n v="0"/>
    <n v="8"/>
    <n v="0"/>
    <n v="0"/>
    <s v="Kollie, Sarah"/>
    <n v="-27"/>
    <n v="0"/>
    <n v="0"/>
    <n v="1"/>
    <n v="0"/>
    <n v="30"/>
    <n v="15"/>
    <n v="2"/>
  </r>
  <r>
    <m/>
    <x v="36"/>
    <s v="A-493-0077"/>
    <s v="0381"/>
    <x v="17"/>
    <d v="2025-01-13T00:00:00"/>
    <d v="2025-01-15T00:00:00"/>
    <d v="1899-12-30T08:00:00"/>
    <m/>
    <m/>
    <m/>
    <m/>
    <m/>
    <m/>
    <s v="ENV Contractor"/>
    <m/>
    <m/>
    <n v="25"/>
    <n v="24"/>
    <n v="3"/>
    <n v="0"/>
    <n v="0"/>
    <n v="0"/>
    <n v="22"/>
    <n v="0"/>
    <n v="3"/>
    <n v="0"/>
    <n v="0"/>
    <s v="Weaver, Nicole"/>
    <n v="-28"/>
    <n v="0"/>
    <n v="0"/>
    <n v="1"/>
    <n v="0"/>
    <n v="24"/>
    <n v="25"/>
    <n v="2"/>
  </r>
  <r>
    <s v="Eastern Time Zone"/>
    <x v="21"/>
    <s v="A-493-0083"/>
    <s v="339E"/>
    <x v="0"/>
    <d v="2025-01-13T00:00:00"/>
    <d v="2025-01-13T00:00:00"/>
    <m/>
    <d v="1899-12-30T08:00:00"/>
    <d v="1899-12-30T05:00:00"/>
    <n v="1600"/>
    <n v="1400"/>
    <d v="1899-12-30T03:00:00"/>
    <n v="2200"/>
    <s v="ENV Contractor"/>
    <m/>
    <m/>
    <n v="30"/>
    <n v="8"/>
    <n v="1"/>
    <n v="0"/>
    <n v="29"/>
    <n v="0"/>
    <n v="23"/>
    <n v="0"/>
    <n v="6"/>
    <n v="0"/>
    <n v="0"/>
    <s v="Weaver, Nicole"/>
    <n v="-30"/>
    <n v="1"/>
    <n v="0"/>
    <n v="1"/>
    <n v="0"/>
    <n v="8"/>
    <n v="1"/>
    <n v="2"/>
  </r>
  <r>
    <m/>
    <x v="4"/>
    <s v="A-493-0550"/>
    <s v="09K5"/>
    <x v="0"/>
    <d v="2025-01-13T00:00:00"/>
    <d v="2025-01-16T00:00:00"/>
    <m/>
    <n v="1000"/>
    <d v="1899-12-30T07:00:00"/>
    <n v="1800"/>
    <n v="1600"/>
    <d v="1899-12-30T05:00:00"/>
    <n v="2300"/>
    <s v="A. DeCastro"/>
    <m/>
    <m/>
    <n v="45"/>
    <n v="32"/>
    <n v="4"/>
    <n v="465"/>
    <n v="43"/>
    <n v="5"/>
    <n v="46"/>
    <n v="1"/>
    <n v="4"/>
    <n v="2"/>
    <n v="0"/>
    <s v="Kollie, Sarah"/>
    <n v="-27"/>
    <n v="0"/>
    <n v="0"/>
    <n v="1"/>
    <n v="0"/>
    <n v="32"/>
    <n v="2"/>
    <n v="2"/>
  </r>
  <r>
    <m/>
    <x v="5"/>
    <s v="A-493-0073"/>
    <s v="714S"/>
    <x v="0"/>
    <d v="2025-01-13T00:00:00"/>
    <d v="2025-01-16T00:00:00"/>
    <m/>
    <n v="1100"/>
    <d v="1899-12-30T08:00:00"/>
    <n v="1900"/>
    <n v="1700"/>
    <d v="1899-12-30T06:00:00"/>
    <d v="1899-12-30T01:00:00"/>
    <s v="SOH Contractor"/>
    <m/>
    <m/>
    <n v="30"/>
    <n v="32"/>
    <n v="4"/>
    <n v="433"/>
    <n v="25"/>
    <n v="0"/>
    <n v="25"/>
    <n v="0"/>
    <n v="1"/>
    <n v="0"/>
    <n v="0"/>
    <s v="Kollie, Sarah"/>
    <n v="-27"/>
    <n v="0"/>
    <n v="0"/>
    <n v="1"/>
    <n v="0"/>
    <n v="32"/>
    <n v="5"/>
    <n v="2"/>
  </r>
  <r>
    <m/>
    <x v="6"/>
    <s v="A-493-0085"/>
    <n v="3555"/>
    <x v="0"/>
    <d v="2025-01-13T00:00:00"/>
    <d v="2025-01-16T00:00:00"/>
    <m/>
    <n v="1200"/>
    <d v="1899-12-30T09:00:00"/>
    <n v="2000"/>
    <n v="1800"/>
    <d v="1899-12-30T07:00:00"/>
    <d v="1899-12-30T02:00:00"/>
    <s v="W. Mitchell"/>
    <s v="A. Harris"/>
    <m/>
    <n v="45"/>
    <n v="32"/>
    <n v="4"/>
    <n v="503"/>
    <n v="10"/>
    <n v="0"/>
    <n v="10"/>
    <n v="0"/>
    <n v="2"/>
    <n v="0"/>
    <n v="0"/>
    <s v="Benzick, Sue"/>
    <n v="-27"/>
    <n v="0"/>
    <n v="0"/>
    <n v="1"/>
    <n v="1"/>
    <n v="16"/>
    <n v="35"/>
    <n v="2"/>
  </r>
  <r>
    <m/>
    <x v="16"/>
    <s v="A-493-0072"/>
    <s v="713U"/>
    <x v="11"/>
    <d v="2025-01-13T00:00:00"/>
    <d v="2025-01-17T00:00:00"/>
    <d v="1899-12-30T08:00:00"/>
    <m/>
    <m/>
    <m/>
    <m/>
    <m/>
    <m/>
    <s v="B. Jung"/>
    <s v="LTJG Bozenski"/>
    <m/>
    <n v="30"/>
    <n v="40"/>
    <n v="5"/>
    <n v="64"/>
    <n v="29"/>
    <n v="1"/>
    <n v="23"/>
    <n v="0"/>
    <n v="5"/>
    <n v="2"/>
    <n v="0"/>
    <s v="Benzick, Sue"/>
    <n v="-26"/>
    <n v="0"/>
    <n v="0"/>
    <n v="1"/>
    <n v="1"/>
    <n v="20"/>
    <n v="1"/>
    <n v="2"/>
  </r>
  <r>
    <m/>
    <x v="26"/>
    <s v="A-4J-0022"/>
    <s v="09ER"/>
    <x v="0"/>
    <d v="2025-01-14T00:00:00"/>
    <d v="2025-01-15T00:00:00"/>
    <m/>
    <n v="1200"/>
    <d v="1899-12-30T09:00:00"/>
    <n v="2000"/>
    <n v="1800"/>
    <d v="1899-12-30T07:00:00"/>
    <d v="1899-12-30T02:00:00"/>
    <s v="K. Seo"/>
    <m/>
    <m/>
    <n v="45"/>
    <n v="16"/>
    <n v="2"/>
    <n v="277"/>
    <n v="21"/>
    <n v="0"/>
    <n v="21"/>
    <n v="0"/>
    <n v="3"/>
    <n v="0"/>
    <n v="0"/>
    <s v="Weaver, Nicole"/>
    <n v="-28"/>
    <n v="0"/>
    <n v="0"/>
    <n v="1"/>
    <n v="0"/>
    <n v="16"/>
    <n v="24"/>
    <n v="2"/>
  </r>
  <r>
    <m/>
    <x v="32"/>
    <s v="A-493-0099"/>
    <s v="12JW"/>
    <x v="0"/>
    <d v="2025-01-14T00:00:00"/>
    <d v="2025-01-16T00:00:00"/>
    <m/>
    <n v="1200"/>
    <d v="1899-12-30T09:00:00"/>
    <n v="2000"/>
    <n v="1800"/>
    <d v="1899-12-30T07:00:00"/>
    <d v="1899-12-30T02:00:00"/>
    <s v="V. Kentish"/>
    <m/>
    <m/>
    <n v="45"/>
    <n v="24"/>
    <n v="3"/>
    <n v="718"/>
    <n v="46"/>
    <n v="2"/>
    <n v="37"/>
    <n v="0"/>
    <n v="9"/>
    <n v="1"/>
    <n v="0"/>
    <s v="Kollie, Sarah"/>
    <n v="-27"/>
    <n v="0"/>
    <n v="0"/>
    <n v="1"/>
    <n v="0"/>
    <n v="24"/>
    <n v="-1"/>
    <n v="2"/>
  </r>
  <r>
    <m/>
    <x v="21"/>
    <s v="A-493-0083"/>
    <s v="339E"/>
    <x v="17"/>
    <d v="2025-01-16T00:00:00"/>
    <d v="2025-01-16T00:00:00"/>
    <d v="1899-12-30T08:00:00"/>
    <m/>
    <m/>
    <m/>
    <m/>
    <m/>
    <m/>
    <s v="ENV Contractor"/>
    <m/>
    <m/>
    <n v="30"/>
    <n v="8"/>
    <n v="1"/>
    <n v="0"/>
    <n v="0"/>
    <n v="0"/>
    <n v="0"/>
    <n v="0"/>
    <n v="0"/>
    <n v="0"/>
    <n v="0"/>
    <s v="Weaver, Nicole"/>
    <n v="-27"/>
    <n v="0"/>
    <n v="0"/>
    <n v="1"/>
    <n v="0"/>
    <n v="8"/>
    <n v="30"/>
    <n v="2"/>
  </r>
  <r>
    <s v="MLK Day"/>
    <x v="10"/>
    <s v="Holiday"/>
    <s v="Holiday"/>
    <x v="3"/>
    <d v="2025-01-20T00:00:00"/>
    <d v="2025-01-20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23"/>
    <n v="0"/>
    <n v="0"/>
    <n v="0"/>
    <n v="0"/>
    <e v="#DIV/0!"/>
    <n v="0"/>
    <n v="2"/>
  </r>
  <r>
    <m/>
    <x v="27"/>
    <s v="A-493-2300"/>
    <s v="993F"/>
    <x v="15"/>
    <d v="2025-01-21T00:00:00"/>
    <d v="2025-01-22T00:00:00"/>
    <d v="1899-12-30T08:00:00"/>
    <m/>
    <m/>
    <m/>
    <m/>
    <m/>
    <m/>
    <s v="ENV Contractor"/>
    <m/>
    <m/>
    <n v="30"/>
    <n v="16"/>
    <n v="2"/>
    <n v="28"/>
    <n v="12"/>
    <n v="0"/>
    <n v="9"/>
    <n v="0"/>
    <n v="3"/>
    <n v="0"/>
    <n v="0"/>
    <m/>
    <n v="-21"/>
    <n v="1"/>
    <n v="0"/>
    <n v="1"/>
    <n v="0"/>
    <n v="16"/>
    <n v="18"/>
    <n v="2"/>
  </r>
  <r>
    <m/>
    <x v="14"/>
    <s v="A-493-0335"/>
    <s v="09ND"/>
    <x v="0"/>
    <d v="2025-01-21T00:00:00"/>
    <d v="2025-01-24T00:00:00"/>
    <m/>
    <d v="1899-12-30T08:00:00"/>
    <d v="1899-12-30T05:00:00"/>
    <n v="1600"/>
    <n v="1400"/>
    <d v="1899-12-30T03:00:00"/>
    <n v="2200"/>
    <s v="LTJG Bozenski"/>
    <m/>
    <m/>
    <n v="45"/>
    <n v="32"/>
    <n v="4"/>
    <n v="253"/>
    <n v="26"/>
    <n v="0"/>
    <n v="26"/>
    <n v="0"/>
    <n v="1"/>
    <n v="0"/>
    <n v="0"/>
    <s v="Benzick, Sue"/>
    <n v="-19"/>
    <n v="0"/>
    <n v="0"/>
    <n v="1"/>
    <n v="0"/>
    <n v="32"/>
    <n v="19"/>
    <n v="2"/>
  </r>
  <r>
    <m/>
    <x v="4"/>
    <s v="A-493-0550"/>
    <s v="09K5"/>
    <x v="0"/>
    <d v="2025-01-21T00:00:00"/>
    <d v="2025-01-24T00:00:00"/>
    <m/>
    <d v="1899-12-30T08:00:00"/>
    <d v="1899-12-30T05:00:00"/>
    <n v="1600"/>
    <n v="1400"/>
    <d v="1899-12-30T03:00:00"/>
    <n v="2200"/>
    <s v="A. DeCastro"/>
    <m/>
    <m/>
    <n v="45"/>
    <n v="32"/>
    <n v="4"/>
    <n v="845"/>
    <n v="45"/>
    <n v="0"/>
    <n v="41"/>
    <n v="0"/>
    <n v="6"/>
    <n v="1"/>
    <n v="0"/>
    <s v="Kollie, Sarah"/>
    <n v="-19"/>
    <n v="0"/>
    <n v="0"/>
    <n v="1"/>
    <n v="0"/>
    <n v="32"/>
    <n v="0"/>
    <n v="2"/>
  </r>
  <r>
    <m/>
    <x v="13"/>
    <s v="A-493-0331"/>
    <s v="10UG"/>
    <x v="0"/>
    <d v="2025-01-22T00:00:00"/>
    <d v="2025-01-24T00:00:00"/>
    <m/>
    <d v="1899-12-30T08:00:00"/>
    <d v="1899-12-30T05:00:00"/>
    <n v="1600"/>
    <n v="1400"/>
    <d v="1899-12-30T03:00:00"/>
    <n v="2200"/>
    <s v="W. Mitchell"/>
    <m/>
    <m/>
    <n v="45"/>
    <n v="24"/>
    <n v="3"/>
    <n v="498"/>
    <n v="45"/>
    <n v="4"/>
    <n v="37"/>
    <n v="1"/>
    <n v="7"/>
    <n v="2"/>
    <n v="0"/>
    <s v="Benzick, Sue"/>
    <n v="-19"/>
    <n v="0"/>
    <n v="0"/>
    <n v="1"/>
    <n v="0"/>
    <n v="24"/>
    <n v="0"/>
    <n v="2"/>
  </r>
  <r>
    <m/>
    <x v="29"/>
    <s v="A-493-0216"/>
    <s v="12X8"/>
    <x v="15"/>
    <d v="2025-01-23T00:00:00"/>
    <d v="2025-01-23T00:00:00"/>
    <d v="1899-12-30T08:00:00"/>
    <m/>
    <m/>
    <m/>
    <m/>
    <m/>
    <m/>
    <s v="ENV Contractor"/>
    <m/>
    <m/>
    <n v="30"/>
    <n v="8"/>
    <n v="1"/>
    <n v="23"/>
    <n v="10"/>
    <n v="0"/>
    <n v="5"/>
    <n v="0"/>
    <n v="4"/>
    <n v="0"/>
    <n v="0"/>
    <s v="Weaver, Nicole"/>
    <n v="-20"/>
    <n v="1"/>
    <n v="0"/>
    <n v="1"/>
    <n v="0"/>
    <n v="8"/>
    <n v="20"/>
    <n v="2"/>
  </r>
  <r>
    <m/>
    <x v="22"/>
    <s v="A-493-2501"/>
    <s v="05ZE"/>
    <x v="15"/>
    <d v="2025-01-24T00:00:00"/>
    <d v="2025-01-24T00:00:00"/>
    <d v="1899-12-30T08:00:00"/>
    <m/>
    <m/>
    <m/>
    <m/>
    <m/>
    <m/>
    <s v="ENV Contractor"/>
    <m/>
    <m/>
    <n v="30"/>
    <n v="8"/>
    <n v="1"/>
    <n v="33"/>
    <n v="11"/>
    <n v="0"/>
    <n v="13"/>
    <n v="0"/>
    <n v="2"/>
    <n v="4"/>
    <n v="0"/>
    <s v="Weaver, Nicole"/>
    <n v="-19"/>
    <n v="1"/>
    <n v="0"/>
    <n v="1"/>
    <n v="0"/>
    <n v="8"/>
    <n v="19"/>
    <n v="2"/>
  </r>
  <r>
    <m/>
    <x v="34"/>
    <s v="A-493-0103"/>
    <s v="12JY"/>
    <x v="11"/>
    <d v="2025-01-27T00:00:00"/>
    <d v="2025-01-31T00:00:00"/>
    <d v="1899-12-30T08:00:00"/>
    <m/>
    <m/>
    <m/>
    <m/>
    <m/>
    <m/>
    <s v="SOH Contractor"/>
    <m/>
    <m/>
    <n v="25"/>
    <n v="40"/>
    <n v="5"/>
    <n v="248"/>
    <n v="25"/>
    <n v="1"/>
    <n v="23"/>
    <n v="0"/>
    <n v="3"/>
    <n v="2"/>
    <n v="0"/>
    <s v="Kollie, Sarah"/>
    <n v="-82"/>
    <n v="0"/>
    <n v="0"/>
    <n v="1"/>
    <n v="0"/>
    <n v="40"/>
    <n v="0"/>
    <n v="2"/>
  </r>
  <r>
    <m/>
    <x v="34"/>
    <s v="A-493-0103"/>
    <s v="12JY"/>
    <x v="5"/>
    <d v="2025-01-27T00:00:00"/>
    <d v="2025-01-31T00:00:00"/>
    <d v="1899-12-30T08:00:00"/>
    <m/>
    <m/>
    <m/>
    <m/>
    <m/>
    <m/>
    <s v="SOH Contractor"/>
    <m/>
    <m/>
    <n v="25"/>
    <n v="40"/>
    <n v="5"/>
    <n v="86"/>
    <n v="24"/>
    <n v="0"/>
    <n v="24"/>
    <n v="0"/>
    <n v="1"/>
    <n v="0"/>
    <n v="0"/>
    <s v="Kollie, Sarah"/>
    <n v="-82"/>
    <n v="0"/>
    <n v="0"/>
    <n v="1"/>
    <n v="0"/>
    <n v="40"/>
    <n v="1"/>
    <n v="2"/>
  </r>
  <r>
    <m/>
    <x v="0"/>
    <s v="A-322-2604"/>
    <s v="10ZZ"/>
    <x v="0"/>
    <d v="2025-01-27T00:00:00"/>
    <d v="2025-01-29T00:00:00"/>
    <m/>
    <d v="1899-12-30T12:00:00"/>
    <d v="1899-12-30T09:00:00"/>
    <d v="1899-12-30T20:00:00"/>
    <d v="1899-12-30T18:00:00"/>
    <d v="1899-12-30T07:00:00"/>
    <d v="1899-12-30T02:00:00"/>
    <s v="LS1 Scoggins"/>
    <s v="LSC Kitivi"/>
    <m/>
    <n v="45"/>
    <n v="24"/>
    <n v="3"/>
    <n v="634"/>
    <n v="44"/>
    <n v="4"/>
    <n v="36"/>
    <n v="2"/>
    <n v="8"/>
    <n v="1"/>
    <n v="0"/>
    <s v="Benzick, Sue"/>
    <n v="-84"/>
    <n v="0"/>
    <n v="0"/>
    <n v="1"/>
    <n v="1"/>
    <n v="12"/>
    <n v="1"/>
    <n v="2"/>
  </r>
  <r>
    <m/>
    <x v="3"/>
    <s v="A-493-0078"/>
    <n v="1228"/>
    <x v="0"/>
    <d v="2025-01-27T00:00:00"/>
    <d v="2025-01-30T00:00:00"/>
    <m/>
    <d v="1899-12-30T12:00:00"/>
    <d v="1899-12-30T09:00:00"/>
    <d v="1899-12-30T20:00:00"/>
    <d v="1899-12-30T18:00:00"/>
    <d v="1899-12-30T07:00:00"/>
    <d v="1899-12-30T02:00:00"/>
    <s v="T. White"/>
    <m/>
    <m/>
    <n v="45"/>
    <n v="32"/>
    <n v="4"/>
    <n v="840"/>
    <n v="43"/>
    <n v="2"/>
    <n v="44"/>
    <n v="0"/>
    <n v="3"/>
    <n v="0"/>
    <n v="0"/>
    <s v="Kollie, Sarah"/>
    <n v="-83"/>
    <n v="0"/>
    <n v="0"/>
    <n v="1"/>
    <n v="0"/>
    <n v="32"/>
    <n v="2"/>
    <n v="2"/>
  </r>
  <r>
    <m/>
    <x v="1"/>
    <s v="A-570-0100"/>
    <s v="18B7"/>
    <x v="0"/>
    <d v="2025-01-27T00:00:00"/>
    <d v="2025-01-28T00:00:00"/>
    <m/>
    <d v="1899-12-30T08:00:00"/>
    <d v="1899-12-30T05:00:00"/>
    <d v="1899-12-30T16:00:00"/>
    <d v="1899-12-30T14:00:00"/>
    <d v="1899-12-30T03:00:00"/>
    <d v="1899-12-30T22:00:00"/>
    <s v="BMC Sosaya"/>
    <m/>
    <m/>
    <n v="45"/>
    <n v="16"/>
    <n v="2"/>
    <n v="621"/>
    <n v="25"/>
    <n v="0"/>
    <n v="20"/>
    <n v="2"/>
    <n v="4"/>
    <n v="1"/>
    <n v="0"/>
    <s v="Weaver, Nicole"/>
    <n v="-85"/>
    <n v="0"/>
    <n v="0"/>
    <n v="1"/>
    <n v="0"/>
    <n v="16"/>
    <n v="20"/>
    <n v="2"/>
  </r>
  <r>
    <m/>
    <x v="16"/>
    <s v="A-493-0072"/>
    <s v="713U"/>
    <x v="18"/>
    <d v="2025-01-27T00:00:00"/>
    <d v="2025-01-31T00:00:00"/>
    <d v="1899-12-30T08:00:00"/>
    <m/>
    <m/>
    <m/>
    <m/>
    <m/>
    <m/>
    <s v="A. Harris"/>
    <s v="LT Andrew"/>
    <m/>
    <n v="30"/>
    <n v="40"/>
    <n v="5"/>
    <n v="41"/>
    <n v="19"/>
    <n v="0"/>
    <n v="18"/>
    <n v="0"/>
    <n v="0"/>
    <n v="0"/>
    <n v="0"/>
    <s v="Benzick, Sue"/>
    <n v="-82"/>
    <n v="0"/>
    <n v="0"/>
    <n v="1"/>
    <n v="1"/>
    <n v="20"/>
    <n v="11"/>
    <n v="2"/>
  </r>
  <r>
    <m/>
    <x v="2"/>
    <s v="A-493-2098"/>
    <s v="09WW"/>
    <x v="0"/>
    <d v="2025-01-27T00:00:00"/>
    <d v="2025-01-28T00:00:00"/>
    <m/>
    <d v="1899-12-30T12:00:00"/>
    <d v="1899-12-30T09:00:00"/>
    <d v="1899-12-30T20:00:00"/>
    <d v="1899-12-30T18:00:00"/>
    <d v="1899-12-30T07:00:00"/>
    <d v="1899-12-30T02:00:00"/>
    <s v="BMC Sosaya"/>
    <m/>
    <m/>
    <n v="100"/>
    <n v="16"/>
    <n v="2"/>
    <n v="722"/>
    <n v="100"/>
    <n v="5"/>
    <n v="77"/>
    <n v="3"/>
    <n v="21"/>
    <n v="3"/>
    <m/>
    <s v="Weaver, Nicole"/>
    <n v="-85"/>
    <n v="0"/>
    <n v="0"/>
    <n v="1"/>
    <n v="0"/>
    <n v="16"/>
    <n v="0"/>
    <n v="2"/>
  </r>
  <r>
    <s v="Andros, Bahamas (CNRSE)"/>
    <x v="24"/>
    <s v="A-493-0013"/>
    <n v="3683"/>
    <x v="19"/>
    <d v="2025-01-28T00:00:00"/>
    <d v="2025-01-30T00:00:00"/>
    <d v="1899-12-30T08:00:00"/>
    <m/>
    <m/>
    <m/>
    <m/>
    <m/>
    <m/>
    <s v="ENV Contractor"/>
    <m/>
    <m/>
    <n v="40"/>
    <n v="24"/>
    <n v="3"/>
    <n v="20"/>
    <n v="13"/>
    <n v="0"/>
    <n v="13"/>
    <n v="0"/>
    <n v="0"/>
    <n v="3"/>
    <n v="0"/>
    <s v="Weaver, Nicole"/>
    <n v="-83"/>
    <n v="0"/>
    <n v="0"/>
    <n v="1"/>
    <n v="0"/>
    <n v="24"/>
    <n v="27"/>
    <n v="2"/>
  </r>
  <r>
    <m/>
    <x v="32"/>
    <s v="A-493-0099"/>
    <s v="12JW"/>
    <x v="0"/>
    <d v="2025-01-28T00:00:00"/>
    <d v="2025-01-30T00:00:00"/>
    <m/>
    <d v="1899-12-30T10:00:00"/>
    <d v="1899-12-30T07:00:00"/>
    <d v="1899-12-30T18:00:00"/>
    <d v="1899-12-30T16:00:00"/>
    <d v="1899-12-30T05:00:00"/>
    <d v="1899-12-30T23:00:00"/>
    <s v="V. Kentish"/>
    <m/>
    <m/>
    <n v="45"/>
    <n v="24"/>
    <n v="3"/>
    <n v="334"/>
    <n v="43"/>
    <n v="1"/>
    <n v="39"/>
    <n v="0"/>
    <n v="6"/>
    <n v="0"/>
    <n v="0"/>
    <s v="Kollie, Sarah"/>
    <n v="-83"/>
    <n v="0"/>
    <n v="0"/>
    <n v="1"/>
    <n v="0"/>
    <n v="24"/>
    <n v="2"/>
    <n v="2"/>
  </r>
  <r>
    <m/>
    <x v="33"/>
    <s v="A-493-0075 "/>
    <s v="714U"/>
    <x v="5"/>
    <d v="2025-01-28T00:00:00"/>
    <d v="2025-01-31T00:00:00"/>
    <d v="1899-12-30T08:00:00"/>
    <m/>
    <m/>
    <m/>
    <m/>
    <m/>
    <m/>
    <s v="SOH Contractor"/>
    <m/>
    <m/>
    <n v="30"/>
    <n v="32"/>
    <n v="4"/>
    <n v="25"/>
    <n v="7"/>
    <n v="0"/>
    <n v="7"/>
    <n v="0"/>
    <n v="0"/>
    <n v="0"/>
    <n v="0"/>
    <s v="Kollie, Sarah"/>
    <n v="-82"/>
    <n v="0"/>
    <n v="0"/>
    <n v="1"/>
    <n v="0"/>
    <n v="32"/>
    <n v="23"/>
    <n v="2"/>
  </r>
  <r>
    <m/>
    <x v="1"/>
    <s v="A-570-0100"/>
    <s v="18B7"/>
    <x v="0"/>
    <d v="2025-02-02T00:00:00"/>
    <d v="2025-02-03T00:00:00"/>
    <m/>
    <d v="1899-12-30T19:00:00"/>
    <d v="1899-12-30T16:00:00"/>
    <d v="1899-12-30T03:00:00"/>
    <d v="1899-12-30T01:00:00"/>
    <d v="1899-12-30T14:00:00"/>
    <d v="1899-12-30T09:00:00"/>
    <s v="BMC Sosaya"/>
    <m/>
    <m/>
    <n v="45"/>
    <n v="16"/>
    <n v="2"/>
    <n v="132"/>
    <n v="8"/>
    <n v="0"/>
    <n v="7"/>
    <n v="0"/>
    <n v="1"/>
    <n v="0"/>
    <n v="0"/>
    <s v="Weaver, Nicole"/>
    <n v="-79"/>
    <n v="0"/>
    <n v="0"/>
    <n v="1"/>
    <n v="0"/>
    <n v="16"/>
    <n v="37"/>
    <n v="2"/>
  </r>
  <r>
    <m/>
    <x v="30"/>
    <s v="A-493-0665"/>
    <s v="10KW"/>
    <x v="0"/>
    <d v="2025-02-03T00:00:00"/>
    <d v="2025-02-05T00:00:00"/>
    <m/>
    <d v="1899-12-30T08:00:00"/>
    <d v="1899-12-30T05:00:00"/>
    <d v="1899-12-30T16:00:00"/>
    <d v="1899-12-30T14:00:00"/>
    <d v="1899-12-30T03:00:00"/>
    <d v="1899-12-30T22:00:00"/>
    <s v="LSC Kitivi"/>
    <m/>
    <m/>
    <n v="45"/>
    <n v="24"/>
    <n v="3"/>
    <n v="172"/>
    <n v="31"/>
    <n v="0"/>
    <n v="26"/>
    <n v="0"/>
    <n v="4"/>
    <n v="0"/>
    <n v="0"/>
    <s v="Weaver, Nicole"/>
    <n v="-77"/>
    <n v="0"/>
    <n v="0"/>
    <n v="1"/>
    <n v="0"/>
    <n v="24"/>
    <n v="14"/>
    <n v="2"/>
  </r>
  <r>
    <m/>
    <x v="34"/>
    <s v="A-493-0103"/>
    <s v="12JY"/>
    <x v="11"/>
    <d v="2025-02-03T00:00:00"/>
    <d v="2025-02-07T00:00:00"/>
    <d v="1899-12-30T08:00:00"/>
    <m/>
    <m/>
    <m/>
    <m/>
    <m/>
    <m/>
    <s v="SOH Contractor"/>
    <m/>
    <m/>
    <n v="25"/>
    <n v="40"/>
    <n v="5"/>
    <n v="248"/>
    <n v="24"/>
    <n v="0"/>
    <n v="19"/>
    <n v="0"/>
    <n v="7"/>
    <n v="0"/>
    <n v="0"/>
    <s v="Kollie, Sarah"/>
    <n v="-75"/>
    <n v="0"/>
    <n v="0"/>
    <n v="1"/>
    <n v="0"/>
    <n v="40"/>
    <n v="1"/>
    <n v="2"/>
  </r>
  <r>
    <m/>
    <x v="34"/>
    <s v="A-493-0103"/>
    <s v="12JY"/>
    <x v="5"/>
    <d v="2025-02-03T00:00:00"/>
    <d v="2025-02-07T00:00:00"/>
    <d v="1899-12-30T08:00:00"/>
    <m/>
    <m/>
    <m/>
    <m/>
    <m/>
    <m/>
    <s v="SOH Contractor"/>
    <m/>
    <m/>
    <n v="25"/>
    <n v="40"/>
    <n v="5"/>
    <n v="86"/>
    <n v="10"/>
    <n v="0"/>
    <n v="9"/>
    <n v="0"/>
    <n v="2"/>
    <n v="0"/>
    <n v="0"/>
    <s v="Kollie, Sarah"/>
    <n v="-75"/>
    <n v="0"/>
    <n v="0"/>
    <n v="1"/>
    <n v="0"/>
    <n v="40"/>
    <n v="15"/>
    <n v="2"/>
  </r>
  <r>
    <m/>
    <x v="9"/>
    <s v="A-493-0012"/>
    <n v="3682"/>
    <x v="11"/>
    <d v="2025-02-03T00:00:00"/>
    <d v="2025-02-07T00:00:00"/>
    <d v="1899-12-30T08:00:00"/>
    <m/>
    <m/>
    <m/>
    <m/>
    <m/>
    <m/>
    <s v="R. Hartel"/>
    <m/>
    <m/>
    <n v="40"/>
    <n v="40"/>
    <n v="5"/>
    <n v="16"/>
    <n v="38"/>
    <n v="0"/>
    <n v="36"/>
    <n v="0"/>
    <n v="6"/>
    <n v="4"/>
    <n v="0"/>
    <s v="Weaver, Nicole"/>
    <n v="-75"/>
    <n v="0"/>
    <n v="0"/>
    <n v="1"/>
    <n v="0"/>
    <n v="40"/>
    <n v="2"/>
    <n v="2"/>
  </r>
  <r>
    <m/>
    <x v="20"/>
    <s v="A-493-0061"/>
    <s v="288E"/>
    <x v="0"/>
    <d v="2025-02-03T00:00:00"/>
    <d v="2025-02-06T00:00:00"/>
    <m/>
    <d v="1899-12-30T08:00:00"/>
    <d v="1899-12-30T05:00:00"/>
    <d v="1899-12-30T16:00:00"/>
    <d v="1899-12-30T14:00:00"/>
    <d v="1899-12-30T03:00:00"/>
    <d v="1899-12-30T22:00:00"/>
    <s v="S. Griffin"/>
    <m/>
    <m/>
    <n v="45"/>
    <n v="30"/>
    <n v="4"/>
    <n v="369"/>
    <n v="43"/>
    <n v="0"/>
    <n v="38"/>
    <n v="0"/>
    <n v="5"/>
    <n v="0"/>
    <n v="0"/>
    <s v="Kollie, Sarah"/>
    <n v="-76"/>
    <n v="0"/>
    <n v="0"/>
    <n v="1"/>
    <n v="0"/>
    <n v="30"/>
    <n v="2"/>
    <n v="2"/>
  </r>
  <r>
    <m/>
    <x v="36"/>
    <s v="A-493-0077"/>
    <s v="0381"/>
    <x v="1"/>
    <d v="2025-02-03T00:00:00"/>
    <d v="2025-02-05T00:00:00"/>
    <d v="1899-12-30T08:00:00"/>
    <m/>
    <m/>
    <m/>
    <m/>
    <m/>
    <m/>
    <s v="ENV Contractor"/>
    <m/>
    <m/>
    <n v="25"/>
    <n v="24"/>
    <n v="3"/>
    <n v="139"/>
    <n v="24"/>
    <n v="0"/>
    <n v="22"/>
    <n v="0"/>
    <n v="2"/>
    <n v="0"/>
    <n v="0"/>
    <s v="Weaver, Nicole"/>
    <n v="-77"/>
    <n v="0"/>
    <n v="0"/>
    <n v="1"/>
    <n v="0"/>
    <n v="24"/>
    <n v="1"/>
    <n v="2"/>
  </r>
  <r>
    <m/>
    <x v="6"/>
    <s v="A-493-0085"/>
    <n v="3555"/>
    <x v="0"/>
    <d v="2025-02-03T00:00:00"/>
    <d v="2025-02-06T00:00:00"/>
    <m/>
    <d v="1899-12-30T12:00:00"/>
    <d v="1899-12-30T09:00:00"/>
    <d v="1899-12-30T20:00:00"/>
    <d v="1899-12-30T18:00:00"/>
    <d v="1899-12-30T07:00:00"/>
    <d v="1899-12-30T02:00:00"/>
    <s v="B. Jung"/>
    <m/>
    <m/>
    <n v="45"/>
    <n v="32"/>
    <n v="4"/>
    <n v="503"/>
    <n v="17"/>
    <n v="0"/>
    <n v="15"/>
    <n v="0"/>
    <n v="3"/>
    <n v="0"/>
    <n v="0"/>
    <s v="Benzick, Sue"/>
    <n v="-76"/>
    <n v="0"/>
    <n v="0"/>
    <n v="1"/>
    <n v="0"/>
    <n v="32"/>
    <n v="28"/>
    <n v="2"/>
  </r>
  <r>
    <m/>
    <x v="16"/>
    <s v="A-493-0072"/>
    <s v="713U"/>
    <x v="11"/>
    <d v="2025-02-03T00:00:00"/>
    <d v="2025-02-07T00:00:00"/>
    <d v="1899-12-30T08:00:00"/>
    <m/>
    <m/>
    <m/>
    <m/>
    <m/>
    <m/>
    <s v="A. Harris"/>
    <s v="LT Andrew"/>
    <m/>
    <n v="30"/>
    <n v="40"/>
    <n v="5"/>
    <n v="186"/>
    <n v="29"/>
    <n v="0"/>
    <n v="26"/>
    <n v="1"/>
    <n v="5"/>
    <n v="3"/>
    <n v="0"/>
    <s v="Benzick, Sue"/>
    <n v="-75"/>
    <n v="0"/>
    <n v="0"/>
    <n v="1"/>
    <n v="1"/>
    <n v="20"/>
    <n v="1"/>
    <n v="2"/>
  </r>
  <r>
    <m/>
    <x v="32"/>
    <s v="A-493-0099"/>
    <s v="12JW"/>
    <x v="0"/>
    <d v="2025-02-04T00:00:00"/>
    <d v="2025-02-06T00:00:00"/>
    <m/>
    <d v="1899-12-30T07:00:00"/>
    <d v="1899-12-30T04:00:00"/>
    <d v="1899-12-30T15:00:00"/>
    <d v="1899-12-30T13:00:00"/>
    <d v="1899-12-30T02:00:00"/>
    <d v="1899-12-30T21:00:00"/>
    <s v="V. Kentish"/>
    <m/>
    <m/>
    <n v="45"/>
    <n v="24"/>
    <n v="3"/>
    <n v="34"/>
    <n v="39"/>
    <n v="0"/>
    <n v="32"/>
    <n v="0"/>
    <n v="8"/>
    <n v="0"/>
    <n v="0"/>
    <s v="Kollie, Sarah"/>
    <n v="-76"/>
    <n v="0"/>
    <n v="0"/>
    <n v="1"/>
    <n v="0"/>
    <n v="24"/>
    <n v="6"/>
    <n v="2"/>
  </r>
  <r>
    <m/>
    <x v="21"/>
    <s v="A-493-0083"/>
    <s v="339E"/>
    <x v="1"/>
    <d v="2025-02-06T00:00:00"/>
    <d v="2025-02-06T00:00:00"/>
    <d v="1899-12-30T08:00:00"/>
    <m/>
    <m/>
    <m/>
    <m/>
    <m/>
    <m/>
    <s v="ENV Contractor"/>
    <m/>
    <m/>
    <n v="30"/>
    <n v="8"/>
    <n v="1"/>
    <n v="143"/>
    <n v="10"/>
    <n v="0"/>
    <n v="9"/>
    <n v="0"/>
    <n v="1"/>
    <n v="0"/>
    <n v="0"/>
    <s v="Weaver, Nicole"/>
    <n v="-76"/>
    <n v="0"/>
    <n v="0"/>
    <n v="1"/>
    <n v="0"/>
    <n v="8"/>
    <n v="20"/>
    <n v="2"/>
  </r>
  <r>
    <m/>
    <x v="26"/>
    <s v="A-4J-0022"/>
    <s v="09ER"/>
    <x v="0"/>
    <d v="2025-02-10T00:00:00"/>
    <d v="2025-02-11T00:00:00"/>
    <m/>
    <d v="1899-12-30T19:00:00"/>
    <d v="1899-12-30T16:00:00"/>
    <d v="1899-12-30T03:00:00"/>
    <d v="1899-12-30T01:00:00"/>
    <d v="1899-12-30T14:00:00"/>
    <d v="1899-12-30T09:00:00"/>
    <s v="BMC Sosaya"/>
    <m/>
    <m/>
    <n v="45"/>
    <n v="16"/>
    <n v="2"/>
    <n v="58"/>
    <n v="26"/>
    <n v="0"/>
    <n v="24"/>
    <n v="1"/>
    <n v="2"/>
    <n v="0"/>
    <n v="0"/>
    <s v="Weaver, Nicole"/>
    <n v="-71"/>
    <n v="0"/>
    <n v="0"/>
    <n v="1"/>
    <n v="0"/>
    <n v="16"/>
    <n v="19"/>
    <n v="2"/>
  </r>
  <r>
    <m/>
    <x v="11"/>
    <s v="A-493-0070"/>
    <s v="450V"/>
    <x v="0"/>
    <d v="2025-02-10T00:00:00"/>
    <d v="2025-02-11T00:00:00"/>
    <m/>
    <d v="1899-12-30T19:00:00"/>
    <d v="1899-12-30T16:00:00"/>
    <d v="1899-12-30T03:00:00"/>
    <d v="1899-12-30T01:00:00"/>
    <d v="1899-12-30T14:00:00"/>
    <d v="1899-12-30T09:00:00"/>
    <s v="B. Jung"/>
    <m/>
    <m/>
    <n v="30"/>
    <n v="8"/>
    <n v="1"/>
    <n v="0"/>
    <n v="23"/>
    <n v="0"/>
    <n v="19"/>
    <n v="0"/>
    <n v="4"/>
    <n v="0"/>
    <n v="0"/>
    <s v="Weaver, Nicole"/>
    <n v="-71"/>
    <n v="0"/>
    <n v="0"/>
    <n v="1"/>
    <n v="0"/>
    <n v="8"/>
    <n v="7"/>
    <n v="2"/>
  </r>
  <r>
    <m/>
    <x v="0"/>
    <s v="A-322-2604"/>
    <s v="10ZZ"/>
    <x v="0"/>
    <d v="2025-02-10T00:00:00"/>
    <d v="2025-02-12T00:00:00"/>
    <m/>
    <d v="1899-12-30T08:00:00"/>
    <d v="1899-12-30T05:00:00"/>
    <d v="1899-12-30T16:00:00"/>
    <d v="1899-12-30T14:00:00"/>
    <d v="1899-12-30T03:00:00"/>
    <d v="1899-12-30T22:00:00"/>
    <s v="LS1 Scoggins"/>
    <m/>
    <m/>
    <n v="45"/>
    <n v="24"/>
    <n v="3"/>
    <n v="357"/>
    <n v="45"/>
    <n v="2"/>
    <n v="37"/>
    <n v="5"/>
    <n v="3"/>
    <n v="0"/>
    <n v="0"/>
    <s v="Benzick, Sue"/>
    <n v="-70"/>
    <n v="0"/>
    <n v="0"/>
    <n v="1"/>
    <n v="0"/>
    <n v="24"/>
    <n v="0"/>
    <n v="2"/>
  </r>
  <r>
    <m/>
    <x v="36"/>
    <s v="A-493-0077"/>
    <s v="0381"/>
    <x v="20"/>
    <d v="2025-02-10T00:00:00"/>
    <d v="2025-02-12T00:00:00"/>
    <d v="1899-12-30T08:00:00"/>
    <m/>
    <m/>
    <m/>
    <m/>
    <m/>
    <m/>
    <s v="ENV Contractor"/>
    <m/>
    <m/>
    <n v="25"/>
    <n v="24"/>
    <n v="3"/>
    <n v="14"/>
    <n v="15"/>
    <n v="0"/>
    <n v="13"/>
    <n v="0"/>
    <n v="2"/>
    <n v="0"/>
    <n v="0"/>
    <s v="Weaver, Nicole"/>
    <n v="-70"/>
    <n v="0"/>
    <n v="0"/>
    <n v="1"/>
    <n v="0"/>
    <n v="24"/>
    <n v="10"/>
    <n v="2"/>
  </r>
  <r>
    <m/>
    <x v="5"/>
    <s v="A-493-0073"/>
    <s v="714S"/>
    <x v="0"/>
    <d v="2025-02-10T00:00:00"/>
    <d v="2025-02-13T00:00:00"/>
    <m/>
    <d v="1899-12-30T02:00:00"/>
    <d v="1899-12-30T23:00:00"/>
    <d v="1899-12-30T10:00:00"/>
    <d v="1899-12-30T08:00:00"/>
    <d v="1899-12-30T21:00:00"/>
    <d v="1899-12-30T16:00:00"/>
    <s v="SOH Contractor"/>
    <m/>
    <m/>
    <n v="30"/>
    <n v="32"/>
    <n v="4"/>
    <n v="45"/>
    <n v="16"/>
    <n v="0"/>
    <n v="9"/>
    <n v="0"/>
    <n v="7"/>
    <n v="0"/>
    <n v="0"/>
    <s v="Kollie, Sarah"/>
    <n v="-69"/>
    <n v="0"/>
    <n v="0"/>
    <n v="1"/>
    <n v="0"/>
    <n v="32"/>
    <n v="14"/>
    <n v="2"/>
  </r>
  <r>
    <s v="Marines"/>
    <x v="16"/>
    <s v="A-493-0072"/>
    <s v="713U"/>
    <x v="21"/>
    <d v="2025-02-10T00:00:00"/>
    <d v="2025-02-14T00:00:00"/>
    <d v="1899-12-30T08:00:00"/>
    <m/>
    <m/>
    <m/>
    <m/>
    <m/>
    <m/>
    <s v="W. Mitchell"/>
    <s v="LTJG Bozenski"/>
    <m/>
    <n v="30"/>
    <n v="40"/>
    <n v="5"/>
    <m/>
    <n v="30"/>
    <n v="0"/>
    <n v="7"/>
    <n v="0"/>
    <n v="0"/>
    <n v="1"/>
    <n v="0"/>
    <s v="Weaver, Nicole"/>
    <n v="-68"/>
    <n v="0"/>
    <n v="0"/>
    <n v="1"/>
    <n v="1"/>
    <n v="20"/>
    <n v="0"/>
    <n v="2"/>
  </r>
  <r>
    <m/>
    <x v="2"/>
    <s v="A-493-2098"/>
    <s v="09WW"/>
    <x v="0"/>
    <d v="2025-02-10T00:00:00"/>
    <d v="2025-02-11T00:00:00"/>
    <m/>
    <d v="1899-12-30T12:00:00"/>
    <d v="1899-12-30T09:00:00"/>
    <d v="1899-12-30T20:00:00"/>
    <d v="1899-12-30T18:00:00"/>
    <d v="1899-12-30T07:00:00"/>
    <d v="1899-12-30T02:00:00"/>
    <s v="EMC Stroughn"/>
    <m/>
    <m/>
    <n v="100"/>
    <n v="16"/>
    <n v="2"/>
    <n v="1432"/>
    <n v="95"/>
    <n v="5"/>
    <n v="60"/>
    <n v="13"/>
    <n v="29"/>
    <n v="1"/>
    <n v="0"/>
    <s v="Weaver, Nicole"/>
    <n v="-71"/>
    <n v="0"/>
    <n v="0"/>
    <n v="1"/>
    <n v="0"/>
    <n v="16"/>
    <n v="5"/>
    <n v="2"/>
  </r>
  <r>
    <s v="POC: Robert Stephenson (NSC)"/>
    <x v="12"/>
    <s v="Reserved"/>
    <s v="Reserved "/>
    <x v="4"/>
    <d v="2025-02-11T00:00:00"/>
    <d v="2025-02-13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69"/>
    <n v="0"/>
    <n v="0"/>
    <n v="0"/>
    <n v="0"/>
    <e v="#DIV/0!"/>
    <m/>
    <m/>
  </r>
  <r>
    <m/>
    <x v="3"/>
    <s v="A-493-0078"/>
    <n v="1228"/>
    <x v="0"/>
    <d v="2025-02-11T00:00:00"/>
    <d v="2025-02-14T00:00:00"/>
    <m/>
    <d v="1899-12-30T08:00:00"/>
    <d v="1899-12-30T05:00:00"/>
    <d v="1899-12-30T16:00:00"/>
    <d v="1899-12-30T14:00:00"/>
    <d v="1899-12-30T03:00:00"/>
    <d v="1899-12-30T22:00:00"/>
    <s v="T. White"/>
    <m/>
    <m/>
    <n v="45"/>
    <n v="32"/>
    <n v="4"/>
    <n v="508"/>
    <n v="43"/>
    <n v="5"/>
    <n v="41"/>
    <n v="1"/>
    <n v="7"/>
    <n v="5"/>
    <n v="0"/>
    <s v="Kollie, Sarah"/>
    <n v="-68"/>
    <n v="0"/>
    <n v="0"/>
    <n v="1"/>
    <n v="0"/>
    <n v="32"/>
    <n v="2"/>
    <n v="2"/>
  </r>
  <r>
    <m/>
    <x v="37"/>
    <s v="A-493-0015"/>
    <n v="3879"/>
    <x v="0"/>
    <d v="2025-02-12T00:00:00"/>
    <d v="2025-02-12T00:00:00"/>
    <m/>
    <d v="1899-12-30T19:00:00"/>
    <d v="1899-12-30T16:00:00"/>
    <d v="1899-12-30T03:00:00"/>
    <d v="1899-12-30T01:00:00"/>
    <d v="1899-12-30T14:00:00"/>
    <d v="1899-12-30T09:00:00"/>
    <s v="B. Jung"/>
    <m/>
    <m/>
    <n v="30"/>
    <n v="4"/>
    <n v="0.5"/>
    <n v="0"/>
    <n v="30"/>
    <n v="1"/>
    <n v="29"/>
    <n v="0"/>
    <n v="1"/>
    <n v="0"/>
    <n v="0"/>
    <m/>
    <n v="-70"/>
    <n v="1"/>
    <n v="0"/>
    <n v="1"/>
    <n v="0"/>
    <n v="4"/>
    <n v="0"/>
    <n v="2"/>
  </r>
  <r>
    <m/>
    <x v="15"/>
    <s v="A-493-0020"/>
    <n v="3888"/>
    <x v="0"/>
    <d v="2025-02-13T00:00:00"/>
    <d v="2025-02-13T00:00:00"/>
    <m/>
    <d v="1899-12-30T19:00:00"/>
    <d v="1899-12-30T16:00:00"/>
    <d v="1899-12-30T03:00:00"/>
    <d v="1899-12-30T01:00:00"/>
    <d v="1899-12-30T14:00:00"/>
    <d v="1899-12-30T09:00:00"/>
    <s v="B. Jung"/>
    <m/>
    <m/>
    <n v="30"/>
    <n v="4"/>
    <n v="0.5"/>
    <n v="0"/>
    <n v="21"/>
    <n v="0"/>
    <n v="18"/>
    <n v="0"/>
    <n v="3"/>
    <n v="0"/>
    <n v="0"/>
    <s v="Weaver, Nicole"/>
    <n v="-69"/>
    <n v="0"/>
    <n v="0"/>
    <n v="1"/>
    <n v="0"/>
    <n v="4"/>
    <n v="9"/>
    <n v="2"/>
  </r>
  <r>
    <m/>
    <x v="21"/>
    <s v="A-493-0083"/>
    <s v="339E"/>
    <x v="20"/>
    <d v="2025-02-13T00:00:00"/>
    <d v="2025-02-13T00:00:00"/>
    <d v="1899-12-30T08:00:00"/>
    <m/>
    <m/>
    <m/>
    <m/>
    <m/>
    <m/>
    <s v="ENV Contractor"/>
    <m/>
    <m/>
    <n v="30"/>
    <n v="8"/>
    <n v="1"/>
    <n v="112"/>
    <n v="16"/>
    <n v="0"/>
    <n v="20"/>
    <n v="0"/>
    <n v="2"/>
    <n v="6"/>
    <n v="0"/>
    <s v="Weaver, Nicole"/>
    <n v="-69"/>
    <n v="0"/>
    <n v="0"/>
    <n v="1"/>
    <n v="0"/>
    <n v="8"/>
    <n v="14"/>
    <n v="2"/>
  </r>
  <r>
    <m/>
    <x v="21"/>
    <s v="A-493-0083"/>
    <s v="339E"/>
    <x v="20"/>
    <d v="2025-02-14T00:00:00"/>
    <d v="2025-02-14T00:00:00"/>
    <d v="1899-12-30T08:00:00"/>
    <m/>
    <m/>
    <m/>
    <m/>
    <m/>
    <m/>
    <s v="ENV Contractor"/>
    <m/>
    <m/>
    <n v="30"/>
    <n v="8"/>
    <n v="1"/>
    <n v="112"/>
    <n v="12"/>
    <n v="0"/>
    <n v="13"/>
    <n v="0"/>
    <n v="1"/>
    <n v="3"/>
    <n v="0"/>
    <s v="Weaver, Nicole"/>
    <n v="-68"/>
    <n v="0"/>
    <n v="0"/>
    <n v="1"/>
    <n v="0"/>
    <n v="8"/>
    <n v="18"/>
    <n v="2"/>
  </r>
  <r>
    <s v="Washington's Birthday"/>
    <x v="10"/>
    <s v="Holiday"/>
    <s v="Holiday"/>
    <x v="3"/>
    <d v="2025-02-17T00:00:00"/>
    <d v="2025-02-17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65"/>
    <n v="0"/>
    <n v="0"/>
    <n v="0"/>
    <n v="0"/>
    <e v="#DIV/0!"/>
    <m/>
    <m/>
  </r>
  <r>
    <m/>
    <x v="32"/>
    <s v="A-493-0099"/>
    <s v="12JW"/>
    <x v="0"/>
    <d v="2025-02-18T00:00:00"/>
    <d v="2025-02-20T00:00:00"/>
    <m/>
    <d v="1899-12-30T08:00:00"/>
    <d v="1899-12-30T05:00:00"/>
    <d v="1899-12-30T16:00:00"/>
    <d v="1899-12-30T14:00:00"/>
    <d v="1899-12-30T03:00:00"/>
    <d v="1899-12-30T22:00:00"/>
    <s v="V. Kentish"/>
    <m/>
    <m/>
    <n v="45"/>
    <n v="24"/>
    <n v="3"/>
    <n v="368"/>
    <n v="24"/>
    <n v="0"/>
    <n v="26"/>
    <n v="0"/>
    <n v="4"/>
    <n v="3"/>
    <n v="0"/>
    <s v="Kollie, Sarah"/>
    <n v="-62"/>
    <n v="0"/>
    <n v="0"/>
    <n v="1"/>
    <n v="0"/>
    <n v="24"/>
    <n v="21"/>
    <n v="2"/>
  </r>
  <r>
    <m/>
    <x v="20"/>
    <s v="A-493-0061"/>
    <s v="288E"/>
    <x v="0"/>
    <d v="2025-02-18T00:00:00"/>
    <d v="2025-02-21T00:00:00"/>
    <m/>
    <d v="1899-12-30T12:00:00"/>
    <d v="1899-12-30T09:00:00"/>
    <d v="1899-12-30T20:00:00"/>
    <d v="1899-12-30T18:00:00"/>
    <d v="1899-12-30T07:00:00"/>
    <d v="1899-12-30T02:00:00"/>
    <s v="S. Griffin"/>
    <m/>
    <m/>
    <n v="45"/>
    <n v="30"/>
    <n v="4"/>
    <n v="533"/>
    <n v="26"/>
    <n v="0"/>
    <n v="25"/>
    <n v="0"/>
    <n v="2"/>
    <n v="0"/>
    <n v="0"/>
    <s v="Kollie, Sarah"/>
    <n v="-61"/>
    <n v="0"/>
    <n v="0"/>
    <n v="1"/>
    <n v="0"/>
    <n v="30"/>
    <n v="19"/>
    <n v="2"/>
  </r>
  <r>
    <m/>
    <x v="13"/>
    <s v="A-493-0331"/>
    <s v="10UG"/>
    <x v="0"/>
    <d v="2025-02-18T00:00:00"/>
    <d v="2025-02-20T00:00:00"/>
    <m/>
    <d v="1899-12-30T12:00:00"/>
    <d v="1899-12-30T09:00:00"/>
    <d v="1899-12-30T20:00:00"/>
    <d v="1899-12-30T18:00:00"/>
    <d v="1899-12-30T07:00:00"/>
    <d v="1899-12-30T02:00:00"/>
    <s v="A. Harris"/>
    <m/>
    <m/>
    <n v="45"/>
    <n v="24"/>
    <n v="3"/>
    <n v="805"/>
    <n v="44"/>
    <n v="5"/>
    <n v="36"/>
    <n v="0"/>
    <n v="13"/>
    <n v="4"/>
    <n v="0"/>
    <s v="Benzick, Sue"/>
    <n v="-62"/>
    <n v="0"/>
    <n v="0"/>
    <n v="1"/>
    <n v="0"/>
    <n v="24"/>
    <n v="1"/>
    <n v="2"/>
  </r>
  <r>
    <m/>
    <x v="4"/>
    <s v="A-493-0550"/>
    <s v="09K5"/>
    <x v="0"/>
    <d v="2025-02-18T00:00:00"/>
    <d v="2025-02-21T00:00:00"/>
    <m/>
    <d v="1899-12-30T19:00:00"/>
    <d v="1899-12-30T16:00:00"/>
    <d v="1899-12-30T03:00:00"/>
    <d v="1899-12-30T01:00:00"/>
    <d v="1899-12-30T14:00:00"/>
    <d v="1899-12-30T09:00:00"/>
    <s v="A. DeCastro"/>
    <m/>
    <m/>
    <n v="45"/>
    <n v="32"/>
    <n v="4"/>
    <n v="266"/>
    <n v="42"/>
    <n v="2"/>
    <n v="29"/>
    <n v="2"/>
    <n v="15"/>
    <n v="1"/>
    <n v="0"/>
    <s v="Kollie, Sarah"/>
    <n v="-61"/>
    <n v="0"/>
    <n v="0"/>
    <n v="1"/>
    <n v="0"/>
    <n v="32"/>
    <n v="3"/>
    <n v="2"/>
  </r>
  <r>
    <m/>
    <x v="28"/>
    <s v="A-493-0092"/>
    <n v="5891"/>
    <x v="22"/>
    <d v="2025-02-19T00:00:00"/>
    <d v="2025-02-21T00:00:00"/>
    <d v="1899-12-30T08:00:00"/>
    <m/>
    <m/>
    <m/>
    <m/>
    <m/>
    <m/>
    <s v="W. Mitchell"/>
    <m/>
    <m/>
    <n v="25"/>
    <n v="24"/>
    <n v="3"/>
    <n v="24"/>
    <n v="12"/>
    <n v="0"/>
    <n v="12"/>
    <n v="0"/>
    <n v="0"/>
    <n v="0"/>
    <n v="0"/>
    <s v="Weaver, Nicole"/>
    <n v="-61"/>
    <n v="0"/>
    <n v="0"/>
    <n v="1"/>
    <n v="0"/>
    <n v="24"/>
    <n v="13"/>
    <n v="2"/>
  </r>
  <r>
    <s v="Naval Support Facility Diego Garcia (UIC: N68539)"/>
    <x v="21"/>
    <s v="A-493-0083"/>
    <s v="339E"/>
    <x v="23"/>
    <d v="2025-02-20T00:00:00"/>
    <d v="2025-02-20T00:00:00"/>
    <d v="1899-12-30T08:00:00"/>
    <m/>
    <m/>
    <m/>
    <m/>
    <m/>
    <m/>
    <s v="ENV Contractor"/>
    <m/>
    <m/>
    <n v="30"/>
    <n v="8"/>
    <n v="1"/>
    <n v="62"/>
    <n v="4"/>
    <n v="0"/>
    <n v="2"/>
    <n v="0"/>
    <n v="2"/>
    <n v="0"/>
    <n v="0"/>
    <s v="Weaver, Nicole"/>
    <n v="-62"/>
    <n v="0"/>
    <n v="0"/>
    <n v="1"/>
    <n v="0"/>
    <n v="8"/>
    <n v="26"/>
    <n v="2"/>
  </r>
  <r>
    <s v="Naval Support Facility Diego Garcia (UIC: N68539)"/>
    <x v="21"/>
    <s v="A-493-0083"/>
    <s v="339E"/>
    <x v="23"/>
    <d v="2025-02-21T00:00:00"/>
    <d v="2025-02-21T00:00:00"/>
    <d v="1899-12-30T08:00:00"/>
    <m/>
    <m/>
    <m/>
    <m/>
    <m/>
    <m/>
    <s v="ENV Contractor"/>
    <m/>
    <m/>
    <n v="30"/>
    <n v="8"/>
    <n v="1"/>
    <n v="62"/>
    <n v="2"/>
    <n v="0"/>
    <n v="2"/>
    <n v="0"/>
    <n v="0"/>
    <n v="0"/>
    <n v="0"/>
    <s v="Weaver, Nicole"/>
    <n v="-61"/>
    <n v="0"/>
    <n v="0"/>
    <n v="1"/>
    <n v="0"/>
    <n v="8"/>
    <n v="28"/>
    <n v="2"/>
  </r>
  <r>
    <m/>
    <x v="0"/>
    <s v="A-322-2604"/>
    <s v="10ZZ"/>
    <x v="0"/>
    <d v="2025-02-23T00:00:00"/>
    <d v="2025-02-25T00:00:00"/>
    <m/>
    <d v="1899-12-30T19:00:00"/>
    <d v="1899-12-30T16:00:00"/>
    <d v="1899-12-30T03:00:00"/>
    <d v="1899-12-30T01:00:00"/>
    <d v="1899-12-30T14:00:00"/>
    <d v="1899-12-30T09:00:00"/>
    <s v="LS1 Scoggins"/>
    <m/>
    <m/>
    <n v="45"/>
    <n v="24"/>
    <n v="3"/>
    <n v="105"/>
    <n v="45"/>
    <n v="3"/>
    <n v="32"/>
    <n v="2"/>
    <n v="11"/>
    <n v="0"/>
    <n v="0"/>
    <s v="Benzick, Sue"/>
    <n v="-57"/>
    <n v="0"/>
    <n v="0"/>
    <n v="1"/>
    <n v="0"/>
    <n v="24"/>
    <n v="0"/>
    <n v="2"/>
  </r>
  <r>
    <m/>
    <x v="34"/>
    <s v="A-493-0103"/>
    <s v="12JY"/>
    <x v="22"/>
    <d v="2025-02-24T00:00:00"/>
    <d v="2025-02-28T00:00:00"/>
    <d v="1899-12-30T08:00:00"/>
    <m/>
    <m/>
    <m/>
    <m/>
    <m/>
    <m/>
    <s v="SOH Contractor"/>
    <m/>
    <m/>
    <n v="25"/>
    <n v="40"/>
    <n v="5"/>
    <n v="65"/>
    <n v="20"/>
    <n v="0"/>
    <n v="22"/>
    <n v="0"/>
    <n v="7"/>
    <n v="0"/>
    <n v="0"/>
    <s v="Kollie, Sarah"/>
    <n v="-54"/>
    <n v="0"/>
    <n v="0"/>
    <n v="1"/>
    <n v="0"/>
    <n v="40"/>
    <n v="5"/>
    <n v="2"/>
  </r>
  <r>
    <m/>
    <x v="34"/>
    <s v="A-493-0103"/>
    <s v="12JY"/>
    <x v="1"/>
    <d v="2025-02-24T00:00:00"/>
    <d v="2025-02-28T00:00:00"/>
    <d v="1899-12-30T08:00:00"/>
    <m/>
    <m/>
    <m/>
    <m/>
    <m/>
    <m/>
    <s v="SOH Contractor"/>
    <m/>
    <m/>
    <n v="25"/>
    <n v="40"/>
    <n v="5"/>
    <n v="332"/>
    <n v="24"/>
    <n v="2"/>
    <n v="22"/>
    <n v="0"/>
    <n v="5"/>
    <n v="0"/>
    <n v="0"/>
    <s v="Kollie, Sarah"/>
    <n v="-54"/>
    <n v="0"/>
    <n v="0"/>
    <n v="1"/>
    <n v="0"/>
    <n v="40"/>
    <n v="1"/>
    <n v="2"/>
  </r>
  <r>
    <s v="Naval Support Facility Diego Garcia (UIC: N68539)"/>
    <x v="9"/>
    <s v="A-493-0012"/>
    <n v="3682"/>
    <x v="23"/>
    <d v="2025-02-24T00:00:00"/>
    <d v="2025-02-28T00:00:00"/>
    <d v="1899-12-30T08:00:00"/>
    <m/>
    <m/>
    <m/>
    <m/>
    <m/>
    <m/>
    <s v="R. Hartel"/>
    <m/>
    <m/>
    <n v="40"/>
    <n v="40"/>
    <n v="5"/>
    <n v="30"/>
    <n v="8"/>
    <n v="0"/>
    <n v="6"/>
    <n v="0"/>
    <n v="2"/>
    <n v="0"/>
    <n v="0"/>
    <s v="Weaver, Nicole"/>
    <n v="-54"/>
    <n v="0"/>
    <n v="0"/>
    <n v="1"/>
    <n v="0"/>
    <n v="40"/>
    <n v="33"/>
    <n v="2"/>
  </r>
  <r>
    <s v="Naval Support Facility Diego Garcia (UIC: N68539)"/>
    <x v="36"/>
    <s v="A-493-0077"/>
    <s v="0381"/>
    <x v="23"/>
    <d v="2025-02-24T00:00:00"/>
    <d v="2025-02-26T00:00:00"/>
    <d v="1899-12-30T08:00:00"/>
    <m/>
    <m/>
    <m/>
    <m/>
    <m/>
    <m/>
    <s v="ENV Contractor"/>
    <m/>
    <m/>
    <n v="25"/>
    <n v="24"/>
    <n v="3"/>
    <n v="32"/>
    <n v="5"/>
    <n v="0"/>
    <n v="5"/>
    <n v="0"/>
    <n v="0"/>
    <n v="0"/>
    <n v="0"/>
    <s v="Weaver, Nicole"/>
    <n v="-56"/>
    <n v="0"/>
    <n v="0"/>
    <n v="1"/>
    <n v="0"/>
    <n v="24"/>
    <n v="20"/>
    <n v="2"/>
  </r>
  <r>
    <s v="Online"/>
    <x v="27"/>
    <s v="A-493-2300"/>
    <s v="993F"/>
    <x v="0"/>
    <d v="2025-02-24T00:00:00"/>
    <d v="2025-02-25T00:00:00"/>
    <d v="1899-12-30T08:00:00"/>
    <m/>
    <m/>
    <m/>
    <m/>
    <m/>
    <m/>
    <s v="ENV Contractor"/>
    <m/>
    <m/>
    <n v="30"/>
    <n v="16"/>
    <n v="2"/>
    <n v="30"/>
    <n v="3"/>
    <n v="0"/>
    <n v="4"/>
    <n v="0"/>
    <n v="2"/>
    <n v="1"/>
    <n v="4"/>
    <s v="Weaver, Nicole"/>
    <n v="-57"/>
    <n v="0"/>
    <n v="0"/>
    <n v="1"/>
    <n v="0"/>
    <n v="16"/>
    <n v="27"/>
    <n v="2"/>
  </r>
  <r>
    <m/>
    <x v="14"/>
    <s v="A-493-0335"/>
    <s v="09ND"/>
    <x v="0"/>
    <d v="2025-02-24T00:00:00"/>
    <d v="2025-02-27T00:00:00"/>
    <m/>
    <d v="1899-12-30T12:00:00"/>
    <d v="1899-12-30T09:00:00"/>
    <d v="1899-12-30T20:00:00"/>
    <d v="1899-12-30T18:00:00"/>
    <d v="1899-12-30T07:00:00"/>
    <d v="1899-12-30T02:00:00"/>
    <s v="A. Harris"/>
    <m/>
    <m/>
    <n v="45"/>
    <n v="32"/>
    <n v="4"/>
    <n v="400"/>
    <n v="28"/>
    <n v="0"/>
    <n v="22"/>
    <n v="0"/>
    <n v="6"/>
    <n v="1"/>
    <n v="0"/>
    <s v="Benzick, Sue"/>
    <n v="-55"/>
    <n v="0"/>
    <n v="0"/>
    <n v="1"/>
    <n v="0"/>
    <n v="32"/>
    <n v="17"/>
    <n v="2"/>
  </r>
  <r>
    <m/>
    <x v="4"/>
    <s v="A-493-0550"/>
    <s v="09K5"/>
    <x v="0"/>
    <d v="2025-02-24T00:00:00"/>
    <d v="2025-02-27T00:00:00"/>
    <m/>
    <d v="1899-12-30T11:00:00"/>
    <d v="1899-12-30T08:00:00"/>
    <d v="1899-12-30T19:00:00"/>
    <d v="1899-12-30T17:00:00"/>
    <d v="1899-12-30T06:00:00"/>
    <d v="1899-12-30T01:00:00"/>
    <s v="V. Kentish"/>
    <m/>
    <m/>
    <n v="45"/>
    <n v="32"/>
    <n v="4"/>
    <n v="949"/>
    <n v="41"/>
    <n v="1"/>
    <n v="41"/>
    <n v="0"/>
    <n v="6"/>
    <n v="1"/>
    <n v="0"/>
    <s v="Kollie, Sarah"/>
    <n v="-55"/>
    <n v="0"/>
    <n v="0"/>
    <n v="1"/>
    <n v="0"/>
    <n v="32"/>
    <n v="4"/>
    <n v="2"/>
  </r>
  <r>
    <m/>
    <x v="3"/>
    <s v="A-493-0078"/>
    <n v="1228"/>
    <x v="0"/>
    <d v="2025-02-24T00:00:00"/>
    <d v="2025-02-27T00:00:00"/>
    <m/>
    <d v="1899-12-30T19:00:00"/>
    <d v="1899-12-30T16:00:00"/>
    <d v="1899-12-30T03:00:00"/>
    <d v="1899-12-30T01:00:00"/>
    <d v="1899-12-30T14:00:00"/>
    <d v="1899-12-30T09:00:00"/>
    <s v="T. White"/>
    <m/>
    <m/>
    <n v="45"/>
    <n v="32"/>
    <n v="4"/>
    <n v="249"/>
    <n v="38"/>
    <n v="0"/>
    <n v="34"/>
    <n v="0"/>
    <n v="10"/>
    <n v="0"/>
    <n v="0"/>
    <s v="Kollie, Sarah"/>
    <n v="-55"/>
    <n v="0"/>
    <n v="0"/>
    <n v="1"/>
    <n v="0"/>
    <n v="32"/>
    <n v="7"/>
    <n v="2"/>
  </r>
  <r>
    <m/>
    <x v="6"/>
    <s v="A-493-0085"/>
    <n v="3555"/>
    <x v="0"/>
    <d v="2025-02-24T00:00:00"/>
    <d v="2025-02-27T00:00:00"/>
    <m/>
    <d v="1905-03-14T19:00:00"/>
    <d v="1899-12-30T16:00:00"/>
    <d v="1899-12-30T02:00:00"/>
    <d v="1899-12-30T00:00:00"/>
    <d v="1899-12-30T13:00:00"/>
    <d v="1899-12-30T08:00:00"/>
    <s v="B. Jung"/>
    <m/>
    <m/>
    <n v="45"/>
    <n v="32"/>
    <n v="4"/>
    <n v="120"/>
    <n v="18"/>
    <n v="0"/>
    <n v="16"/>
    <n v="1"/>
    <n v="1"/>
    <n v="0"/>
    <n v="6"/>
    <s v="Benzick, Sue"/>
    <n v="-55"/>
    <n v="0"/>
    <n v="0"/>
    <n v="1"/>
    <n v="0"/>
    <n v="32"/>
    <n v="27"/>
    <n v="2"/>
  </r>
  <r>
    <m/>
    <x v="1"/>
    <s v="A-570-0100"/>
    <s v="18B7"/>
    <x v="0"/>
    <d v="2025-02-24T00:00:00"/>
    <d v="2025-02-25T00:00:00"/>
    <m/>
    <d v="1899-12-30T08:00:00"/>
    <d v="1899-12-30T05:00:00"/>
    <d v="1899-12-30T16:00:00"/>
    <d v="1899-12-30T14:00:00"/>
    <d v="1899-12-30T03:00:00"/>
    <d v="1899-12-30T22:00:00"/>
    <s v="BMC Sosaya"/>
    <m/>
    <m/>
    <n v="45"/>
    <n v="16"/>
    <n v="2"/>
    <n v="404"/>
    <n v="30"/>
    <n v="0"/>
    <n v="18"/>
    <n v="7"/>
    <n v="6"/>
    <n v="0"/>
    <n v="0"/>
    <s v="Weaver, Nicole"/>
    <n v="-57"/>
    <n v="0"/>
    <n v="0"/>
    <n v="1"/>
    <n v="0"/>
    <n v="16"/>
    <n v="15"/>
    <n v="2"/>
  </r>
  <r>
    <m/>
    <x v="16"/>
    <s v="A-493-0072"/>
    <s v="713U"/>
    <x v="22"/>
    <d v="2025-02-24T00:00:00"/>
    <d v="2025-02-28T00:00:00"/>
    <d v="1899-12-30T08:00:00"/>
    <m/>
    <m/>
    <m/>
    <m/>
    <m/>
    <m/>
    <s v="W. Mitchell"/>
    <s v="LTJG Bozenski"/>
    <m/>
    <n v="30"/>
    <n v="40"/>
    <n v="5"/>
    <n v="36"/>
    <n v="22"/>
    <n v="0"/>
    <n v="21"/>
    <n v="0"/>
    <n v="4"/>
    <n v="0"/>
    <n v="2"/>
    <s v="Benzick, Sue"/>
    <n v="-54"/>
    <n v="0"/>
    <n v="0"/>
    <n v="1"/>
    <n v="1"/>
    <n v="20"/>
    <n v="8"/>
    <n v="2"/>
  </r>
  <r>
    <m/>
    <x v="31"/>
    <s v="F-4J-0023"/>
    <s v="11A2"/>
    <x v="0"/>
    <d v="2025-02-24T00:00:00"/>
    <d v="2025-02-28T00:00:00"/>
    <m/>
    <d v="1899-12-30T12:00:00"/>
    <d v="1899-12-30T09:00:00"/>
    <d v="1899-12-30T20:00:00"/>
    <d v="1899-12-30T18:00:00"/>
    <d v="1899-12-30T07:00:00"/>
    <d v="1899-12-30T02:00:00"/>
    <s v="LT Andrew"/>
    <s v="EMC Stroughn"/>
    <m/>
    <n v="45"/>
    <n v="16"/>
    <n v="2"/>
    <n v="70"/>
    <n v="12"/>
    <n v="0"/>
    <n v="6"/>
    <n v="0"/>
    <n v="6"/>
    <n v="0"/>
    <n v="0"/>
    <s v="Weaver, Nicole"/>
    <n v="-54"/>
    <n v="0"/>
    <n v="0"/>
    <n v="1"/>
    <n v="1"/>
    <n v="8"/>
    <n v="33"/>
    <n v="2"/>
  </r>
  <r>
    <m/>
    <x v="33"/>
    <s v="A-493-0075 "/>
    <s v="714U"/>
    <x v="11"/>
    <d v="2025-02-25T00:00:00"/>
    <d v="2025-02-28T00:00:00"/>
    <d v="1899-12-30T08:00:00"/>
    <m/>
    <m/>
    <m/>
    <m/>
    <m/>
    <m/>
    <s v="SOH Contractor"/>
    <m/>
    <m/>
    <n v="30"/>
    <n v="32"/>
    <n v="4"/>
    <n v="137"/>
    <n v="18"/>
    <n v="0"/>
    <n v="14"/>
    <n v="0"/>
    <n v="5"/>
    <n v="0"/>
    <n v="0"/>
    <s v="Kollie, Sarah"/>
    <n v="-54"/>
    <n v="0"/>
    <n v="0"/>
    <n v="1"/>
    <n v="0"/>
    <n v="32"/>
    <n v="12"/>
    <n v="2"/>
  </r>
  <r>
    <s v="Central Europe Focused"/>
    <x v="21"/>
    <s v="A-493-0083"/>
    <s v="339E"/>
    <x v="0"/>
    <d v="2025-02-25T00:00:00"/>
    <d v="2025-02-25T00:00:00"/>
    <m/>
    <d v="1899-12-30T02:00:00"/>
    <d v="1899-12-30T23:00:00"/>
    <d v="1899-12-30T10:00:00"/>
    <d v="1899-12-30T08:00:00"/>
    <d v="1899-12-30T21:00:00"/>
    <d v="1899-12-30T16:00:00"/>
    <s v="ENV Contractor"/>
    <m/>
    <m/>
    <n v="30"/>
    <n v="8"/>
    <n v="1"/>
    <n v="0"/>
    <n v="29"/>
    <n v="0"/>
    <n v="17"/>
    <n v="0"/>
    <n v="4"/>
    <n v="0"/>
    <n v="17"/>
    <s v="Weaver, Nicole"/>
    <n v="-57"/>
    <n v="0"/>
    <n v="0"/>
    <n v="1"/>
    <n v="0"/>
    <n v="8"/>
    <n v="1"/>
    <n v="2"/>
  </r>
  <r>
    <s v="Online"/>
    <x v="38"/>
    <s v="A-493-2301"/>
    <s v="05ZD"/>
    <x v="0"/>
    <d v="2025-02-26T00:00:00"/>
    <d v="2025-02-26T00:00:00"/>
    <d v="1899-12-30T08:00:00"/>
    <m/>
    <m/>
    <m/>
    <m/>
    <m/>
    <m/>
    <s v="ENV Contractor"/>
    <m/>
    <m/>
    <n v="30"/>
    <n v="8"/>
    <n v="1"/>
    <n v="30"/>
    <n v="0"/>
    <n v="0"/>
    <n v="0"/>
    <n v="0"/>
    <n v="0"/>
    <n v="0"/>
    <n v="0"/>
    <s v="Weaver, Nicole"/>
    <n v="-56"/>
    <n v="0"/>
    <n v="0"/>
    <n v="1"/>
    <n v="0"/>
    <n v="8"/>
    <n v="30"/>
    <n v="2"/>
  </r>
  <r>
    <s v="Online"/>
    <x v="29"/>
    <s v="A-493-0216"/>
    <s v="12X8"/>
    <x v="0"/>
    <d v="2025-02-27T00:00:00"/>
    <d v="2025-02-27T00:00:00"/>
    <d v="1899-12-30T08:00:00"/>
    <m/>
    <m/>
    <m/>
    <m/>
    <m/>
    <m/>
    <s v="ENV Contractor"/>
    <m/>
    <m/>
    <n v="30"/>
    <n v="8"/>
    <n v="1"/>
    <n v="30"/>
    <n v="6"/>
    <n v="0"/>
    <n v="8"/>
    <n v="0"/>
    <n v="0"/>
    <n v="2"/>
    <n v="8"/>
    <s v="Weaver, Nicole"/>
    <n v="-55"/>
    <n v="0"/>
    <n v="0"/>
    <n v="1"/>
    <n v="0"/>
    <n v="8"/>
    <n v="24"/>
    <n v="2"/>
  </r>
  <r>
    <s v="Online"/>
    <x v="22"/>
    <s v="A-493-2501"/>
    <s v="05ZE"/>
    <x v="0"/>
    <d v="2025-02-28T00:00:00"/>
    <d v="2025-02-28T00:00:00"/>
    <d v="1899-12-30T08:00:00"/>
    <m/>
    <m/>
    <m/>
    <m/>
    <m/>
    <m/>
    <s v="ENV Contractor"/>
    <m/>
    <m/>
    <n v="30"/>
    <n v="8"/>
    <n v="1"/>
    <n v="20"/>
    <n v="1"/>
    <n v="0"/>
    <n v="8"/>
    <n v="0"/>
    <n v="0"/>
    <n v="7"/>
    <n v="8"/>
    <s v="Weaver, Nicole"/>
    <n v="-54"/>
    <n v="0"/>
    <n v="0"/>
    <n v="1"/>
    <n v="0"/>
    <n v="8"/>
    <n v="29"/>
    <n v="2"/>
  </r>
  <r>
    <m/>
    <x v="34"/>
    <s v="A-493-0103"/>
    <s v="12JY"/>
    <x v="1"/>
    <d v="2025-03-03T00:00:00"/>
    <d v="2025-03-07T00:00:00"/>
    <d v="1899-12-30T08:00:00"/>
    <m/>
    <m/>
    <m/>
    <m/>
    <m/>
    <m/>
    <s v="SOH Contractor"/>
    <m/>
    <m/>
    <n v="25"/>
    <n v="40"/>
    <n v="5"/>
    <n v="332"/>
    <n v="24"/>
    <n v="0"/>
    <n v="25"/>
    <n v="0"/>
    <n v="6"/>
    <n v="0"/>
    <n v="0"/>
    <s v="Kollie, Sarah"/>
    <n v="-47"/>
    <n v="0"/>
    <n v="0"/>
    <n v="1"/>
    <n v="0"/>
    <n v="40"/>
    <n v="1"/>
    <n v="2"/>
  </r>
  <r>
    <m/>
    <x v="34"/>
    <s v="A-493-0103"/>
    <s v="12JY"/>
    <x v="22"/>
    <d v="2025-03-03T00:00:00"/>
    <d v="2025-03-07T00:00:00"/>
    <d v="1899-12-30T08:00:00"/>
    <m/>
    <m/>
    <m/>
    <m/>
    <m/>
    <m/>
    <s v="SOH Contractor"/>
    <m/>
    <m/>
    <n v="25"/>
    <n v="40"/>
    <n v="5"/>
    <n v="65"/>
    <n v="11"/>
    <n v="0"/>
    <n v="9"/>
    <n v="0"/>
    <n v="4"/>
    <n v="0"/>
    <n v="0"/>
    <s v="Kollie, Sarah"/>
    <n v="-47"/>
    <n v="0"/>
    <n v="0"/>
    <n v="1"/>
    <n v="0"/>
    <n v="40"/>
    <n v="14"/>
    <n v="2"/>
  </r>
  <r>
    <m/>
    <x v="33"/>
    <s v="A-493-0075 "/>
    <s v="714U"/>
    <x v="24"/>
    <d v="2025-03-03T00:00:00"/>
    <d v="2025-03-06T00:00:00"/>
    <d v="1899-12-30T08:00:00"/>
    <m/>
    <m/>
    <m/>
    <m/>
    <m/>
    <m/>
    <s v="SOH Contractor"/>
    <m/>
    <m/>
    <n v="30"/>
    <n v="32"/>
    <n v="4"/>
    <n v="2"/>
    <n v="7"/>
    <n v="0"/>
    <n v="7"/>
    <n v="0"/>
    <n v="0"/>
    <n v="0"/>
    <n v="0"/>
    <s v="Kollie, Sarah"/>
    <n v="-48"/>
    <n v="0"/>
    <n v="0"/>
    <n v="1"/>
    <n v="0"/>
    <n v="32"/>
    <n v="23"/>
    <n v="2"/>
  </r>
  <r>
    <m/>
    <x v="20"/>
    <s v="A-493-0061"/>
    <s v="288E"/>
    <x v="0"/>
    <d v="2025-03-03T00:00:00"/>
    <d v="2025-03-06T00:00:00"/>
    <m/>
    <d v="1899-12-30T11:00:00"/>
    <d v="1899-12-30T08:00:00"/>
    <d v="1899-12-30T19:00:00"/>
    <d v="1899-12-30T17:00:00"/>
    <d v="1899-12-30T06:00:00"/>
    <d v="1899-12-30T01:00:00"/>
    <s v="S. Griffin"/>
    <m/>
    <m/>
    <n v="45"/>
    <n v="30"/>
    <n v="4"/>
    <n v="533"/>
    <n v="32"/>
    <n v="0"/>
    <n v="24"/>
    <n v="0"/>
    <n v="8"/>
    <n v="0"/>
    <n v="0"/>
    <s v="Kollie, Sarah"/>
    <n v="-48"/>
    <n v="0"/>
    <n v="0"/>
    <n v="1"/>
    <n v="0"/>
    <n v="30"/>
    <n v="13"/>
    <n v="2"/>
  </r>
  <r>
    <m/>
    <x v="36"/>
    <s v="A-493-0077"/>
    <s v="0381"/>
    <x v="25"/>
    <d v="2025-03-03T00:00:00"/>
    <d v="2025-03-05T00:00:00"/>
    <d v="1899-12-30T08:00:00"/>
    <m/>
    <m/>
    <m/>
    <m/>
    <m/>
    <m/>
    <s v="ENV Contractor"/>
    <m/>
    <m/>
    <n v="25"/>
    <n v="24"/>
    <n v="3"/>
    <n v="33"/>
    <n v="16"/>
    <n v="0"/>
    <n v="22"/>
    <n v="0"/>
    <n v="0"/>
    <n v="7"/>
    <n v="0"/>
    <s v="Weaver, Nicole"/>
    <n v="-49"/>
    <n v="0"/>
    <n v="0"/>
    <n v="1"/>
    <n v="0"/>
    <n v="24"/>
    <n v="9"/>
    <n v="2"/>
  </r>
  <r>
    <m/>
    <x v="1"/>
    <s v="A-570-0100"/>
    <s v="18B7"/>
    <x v="0"/>
    <d v="2025-03-03T00:00:00"/>
    <d v="2025-03-04T00:00:00"/>
    <m/>
    <d v="1899-12-30T12:00:00"/>
    <d v="1899-12-30T09:00:00"/>
    <d v="1899-12-30T20:00:00"/>
    <d v="1899-12-30T18:00:00"/>
    <d v="1899-12-30T07:00:00"/>
    <d v="1899-12-30T02:00:00"/>
    <s v="LS1 Scoggins"/>
    <s v="BMC Sosaya"/>
    <m/>
    <n v="45"/>
    <n v="16"/>
    <n v="2"/>
    <n v="621"/>
    <n v="14"/>
    <n v="0"/>
    <n v="9"/>
    <n v="3"/>
    <n v="4"/>
    <n v="0"/>
    <n v="0"/>
    <s v="Weaver, Nicole"/>
    <n v="-50"/>
    <n v="0"/>
    <n v="0"/>
    <n v="1"/>
    <n v="1"/>
    <n v="8"/>
    <n v="31"/>
    <n v="2"/>
  </r>
  <r>
    <s v="Classroom needed Marines"/>
    <x v="16"/>
    <s v="A-493-0072"/>
    <s v="713U"/>
    <x v="26"/>
    <d v="2025-03-03T00:00:00"/>
    <d v="2025-03-07T00:00:00"/>
    <d v="1899-12-30T08:00:00"/>
    <m/>
    <m/>
    <m/>
    <m/>
    <m/>
    <m/>
    <s v="W. Mitchell"/>
    <s v="LT Andrew"/>
    <m/>
    <n v="30"/>
    <n v="40"/>
    <n v="5"/>
    <m/>
    <n v="0"/>
    <n v="0"/>
    <n v="16"/>
    <n v="1"/>
    <n v="5"/>
    <n v="1"/>
    <n v="0"/>
    <s v="Benzick, Sue"/>
    <n v="-47"/>
    <n v="0"/>
    <n v="0"/>
    <n v="1"/>
    <n v="1"/>
    <n v="20"/>
    <n v="30"/>
    <n v="2"/>
  </r>
  <r>
    <m/>
    <x v="2"/>
    <s v="A-493-2098"/>
    <s v="09WW"/>
    <x v="0"/>
    <d v="2025-03-03T00:00:00"/>
    <d v="2025-03-04T00:00:00"/>
    <m/>
    <d v="1899-12-30T12:00:00"/>
    <d v="1899-12-30T09:00:00"/>
    <d v="1899-12-30T20:00:00"/>
    <d v="1899-12-30T18:00:00"/>
    <d v="1899-12-30T07:00:00"/>
    <d v="1899-12-30T02:00:00"/>
    <s v="EMC Stroughn"/>
    <m/>
    <m/>
    <n v="100"/>
    <n v="16"/>
    <n v="2"/>
    <n v="1432"/>
    <n v="99"/>
    <n v="0"/>
    <n v="82"/>
    <n v="3"/>
    <n v="18"/>
    <n v="3"/>
    <n v="0"/>
    <s v="Weaver, Nicole"/>
    <n v="-50"/>
    <n v="0"/>
    <n v="0"/>
    <n v="1"/>
    <n v="0"/>
    <n v="16"/>
    <n v="1"/>
    <n v="2"/>
  </r>
  <r>
    <m/>
    <x v="32"/>
    <s v="A-493-0099"/>
    <s v="12JW"/>
    <x v="0"/>
    <d v="2025-03-04T00:00:00"/>
    <d v="2025-03-06T00:00:00"/>
    <m/>
    <d v="1899-12-30T11:00:00"/>
    <d v="1899-12-30T08:00:00"/>
    <d v="1899-12-30T19:00:00"/>
    <d v="1899-12-30T17:00:00"/>
    <d v="1899-12-30T06:00:00"/>
    <d v="1899-12-30T01:00:00"/>
    <s v="V. Kentish"/>
    <m/>
    <m/>
    <n v="45"/>
    <n v="24"/>
    <n v="3"/>
    <n v="718"/>
    <n v="33"/>
    <n v="0"/>
    <n v="30"/>
    <n v="0"/>
    <n v="8"/>
    <n v="0"/>
    <n v="0"/>
    <s v="Kollie, Sarah"/>
    <n v="-48"/>
    <n v="0"/>
    <n v="0"/>
    <n v="1"/>
    <n v="0"/>
    <n v="24"/>
    <n v="12"/>
    <n v="2"/>
  </r>
  <r>
    <m/>
    <x v="13"/>
    <s v="A-493-0331"/>
    <s v="10UG"/>
    <x v="0"/>
    <d v="2025-03-04T00:00:00"/>
    <d v="2025-03-06T00:00:00"/>
    <m/>
    <d v="1899-12-30T12:00:00"/>
    <d v="1899-12-30T09:00:00"/>
    <d v="1899-12-30T20:00:00"/>
    <d v="1899-12-30T18:00:00"/>
    <d v="1899-12-30T07:00:00"/>
    <d v="1899-12-30T02:00:00"/>
    <s v="A. Harris"/>
    <m/>
    <m/>
    <n v="45"/>
    <n v="24"/>
    <n v="3"/>
    <n v="805"/>
    <n v="44"/>
    <n v="5"/>
    <n v="42"/>
    <n v="0"/>
    <n v="6"/>
    <n v="2"/>
    <n v="0"/>
    <s v="Benzick, Sue"/>
    <n v="-48"/>
    <n v="0"/>
    <n v="0"/>
    <n v="1"/>
    <n v="0"/>
    <n v="24"/>
    <n v="1"/>
    <n v="2"/>
  </r>
  <r>
    <m/>
    <x v="4"/>
    <s v="A-493-0550"/>
    <s v="09K5"/>
    <x v="0"/>
    <d v="2025-03-04T00:00:00"/>
    <d v="2025-03-07T00:00:00"/>
    <m/>
    <d v="1899-12-30T07:00:00"/>
    <d v="1899-12-30T04:00:00"/>
    <d v="1899-12-30T15:00:00"/>
    <d v="1899-12-30T13:00:00"/>
    <d v="1899-12-30T02:00:00"/>
    <d v="1899-12-30T21:00:00"/>
    <s v="A. DeCastro"/>
    <m/>
    <m/>
    <n v="45"/>
    <n v="32"/>
    <n v="4"/>
    <n v="380"/>
    <n v="45"/>
    <n v="0"/>
    <n v="37"/>
    <n v="0"/>
    <n v="7"/>
    <n v="0"/>
    <n v="0"/>
    <s v="Kollie, Sarah"/>
    <n v="-47"/>
    <n v="0"/>
    <n v="0"/>
    <n v="1"/>
    <n v="0"/>
    <n v="32"/>
    <n v="0"/>
    <n v="2"/>
  </r>
  <r>
    <m/>
    <x v="21"/>
    <s v="A-493-0083"/>
    <s v="339E"/>
    <x v="25"/>
    <d v="2025-03-06T00:00:00"/>
    <d v="2025-03-06T00:00:00"/>
    <d v="1899-12-30T08:00:00"/>
    <m/>
    <m/>
    <m/>
    <m/>
    <m/>
    <m/>
    <s v="ENV Contractor"/>
    <m/>
    <m/>
    <n v="30"/>
    <n v="8"/>
    <n v="1"/>
    <n v="33"/>
    <n v="3"/>
    <n v="0"/>
    <n v="0"/>
    <n v="0"/>
    <n v="3"/>
    <n v="0"/>
    <n v="0"/>
    <s v="Weaver, Nicole"/>
    <n v="-48"/>
    <n v="0"/>
    <n v="0"/>
    <n v="1"/>
    <n v="0"/>
    <n v="8"/>
    <n v="27"/>
    <n v="2"/>
  </r>
  <r>
    <m/>
    <x v="0"/>
    <s v="A-322-2604"/>
    <s v="10ZZ"/>
    <x v="0"/>
    <d v="2025-03-10T00:00:00"/>
    <d v="2025-03-12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44"/>
    <n v="4"/>
    <n v="36"/>
    <n v="1"/>
    <n v="9"/>
    <n v="1"/>
    <n v="0"/>
    <s v="Benzick, Sue"/>
    <n v="-42"/>
    <n v="0"/>
    <n v="0"/>
    <n v="1"/>
    <n v="0"/>
    <n v="24"/>
    <n v="1"/>
    <n v="2"/>
  </r>
  <r>
    <m/>
    <x v="27"/>
    <s v="A-493-2300"/>
    <s v="993F"/>
    <x v="27"/>
    <d v="2025-03-10T00:00:00"/>
    <d v="2025-03-11T00:00:00"/>
    <d v="1899-12-30T08:00:00"/>
    <m/>
    <m/>
    <m/>
    <m/>
    <m/>
    <m/>
    <s v="ENV Contractor"/>
    <m/>
    <m/>
    <n v="30"/>
    <n v="16"/>
    <n v="2"/>
    <n v="27"/>
    <n v="30"/>
    <n v="0"/>
    <n v="21"/>
    <n v="0"/>
    <n v="11"/>
    <n v="3"/>
    <n v="21"/>
    <s v="Weaver, Nicole"/>
    <n v="-43"/>
    <n v="0"/>
    <n v="0"/>
    <n v="1"/>
    <n v="0"/>
    <n v="16"/>
    <n v="0"/>
    <n v="2"/>
  </r>
  <r>
    <m/>
    <x v="3"/>
    <s v="A-493-0078"/>
    <n v="1228"/>
    <x v="0"/>
    <d v="2025-03-10T00:00:00"/>
    <d v="2025-03-13T00:00:00"/>
    <m/>
    <d v="1899-12-30T07:00:00"/>
    <d v="1899-12-30T04:00:00"/>
    <d v="1899-12-30T14:00:00"/>
    <d v="1899-12-30T12:00:00"/>
    <d v="1899-12-30T01:00:00"/>
    <d v="1899-12-30T20:00:00"/>
    <s v="T. White"/>
    <m/>
    <m/>
    <n v="45"/>
    <n v="32"/>
    <n v="4"/>
    <n v="62"/>
    <n v="43"/>
    <n v="0"/>
    <n v="40"/>
    <n v="0"/>
    <n v="5"/>
    <n v="0"/>
    <n v="0"/>
    <s v="Kollie, Sarah"/>
    <n v="-41"/>
    <n v="0"/>
    <n v="0"/>
    <n v="1"/>
    <n v="0"/>
    <n v="32"/>
    <n v="2"/>
    <n v="2"/>
  </r>
  <r>
    <m/>
    <x v="6"/>
    <s v="A-493-0085"/>
    <n v="3555"/>
    <x v="0"/>
    <d v="2025-03-10T00:00:00"/>
    <d v="2025-03-13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32"/>
    <n v="4"/>
    <n v="503"/>
    <n v="13"/>
    <n v="0"/>
    <n v="12"/>
    <n v="0"/>
    <n v="1"/>
    <n v="0"/>
    <n v="0"/>
    <s v="Benzick, Sue"/>
    <n v="-41"/>
    <n v="0"/>
    <n v="0"/>
    <n v="1"/>
    <n v="0"/>
    <n v="32"/>
    <n v="32"/>
    <n v="2"/>
  </r>
  <r>
    <m/>
    <x v="39"/>
    <s v="A-493-2017"/>
    <s v="12x3"/>
    <x v="28"/>
    <d v="2025-03-10T00:00:00"/>
    <d v="2025-03-14T00:00:00"/>
    <d v="1899-12-30T08:00:00"/>
    <m/>
    <m/>
    <m/>
    <m/>
    <m/>
    <m/>
    <s v="ENV Contractor"/>
    <m/>
    <m/>
    <n v="25"/>
    <n v="40"/>
    <n v="5"/>
    <n v="1"/>
    <n v="9"/>
    <n v="0"/>
    <n v="6"/>
    <n v="0"/>
    <n v="5"/>
    <n v="0"/>
    <n v="0"/>
    <s v="Weaver, Nicole"/>
    <n v="-40"/>
    <n v="0"/>
    <n v="0"/>
    <n v="1"/>
    <n v="0"/>
    <n v="40"/>
    <n v="16"/>
    <n v="2"/>
  </r>
  <r>
    <m/>
    <x v="38"/>
    <s v="A-493-2301"/>
    <s v="05ZD"/>
    <x v="27"/>
    <d v="2025-03-12T00:00:00"/>
    <d v="2025-03-12T00:00:00"/>
    <d v="1899-12-30T08:00:00"/>
    <m/>
    <m/>
    <m/>
    <m/>
    <m/>
    <m/>
    <s v="ENV Contractor"/>
    <m/>
    <m/>
    <n v="30"/>
    <n v="8"/>
    <n v="1"/>
    <n v="28"/>
    <n v="0"/>
    <n v="0"/>
    <n v="0"/>
    <n v="0"/>
    <n v="0"/>
    <n v="0"/>
    <n v="0"/>
    <s v="Weaver, Nicole"/>
    <n v="-42"/>
    <n v="0"/>
    <n v="0"/>
    <n v="1"/>
    <n v="0"/>
    <n v="8"/>
    <n v="30"/>
    <n v="2"/>
  </r>
  <r>
    <m/>
    <x v="28"/>
    <s v="A-493-0092"/>
    <n v="5891"/>
    <x v="11"/>
    <d v="2025-03-12T00:00:00"/>
    <d v="2025-03-14T00:00:00"/>
    <d v="1899-12-30T08:00:00"/>
    <m/>
    <m/>
    <m/>
    <m/>
    <m/>
    <m/>
    <s v="B. Jung"/>
    <m/>
    <m/>
    <n v="25"/>
    <n v="24"/>
    <n v="3"/>
    <n v="102"/>
    <n v="8"/>
    <n v="0"/>
    <n v="4"/>
    <n v="0"/>
    <n v="5"/>
    <n v="0"/>
    <n v="0"/>
    <s v="Benzick, Sue"/>
    <n v="-40"/>
    <n v="0"/>
    <n v="0"/>
    <n v="1"/>
    <n v="0"/>
    <n v="24"/>
    <n v="17"/>
    <n v="2"/>
  </r>
  <r>
    <m/>
    <x v="29"/>
    <s v="A-493-0216"/>
    <s v="12X8"/>
    <x v="27"/>
    <d v="2025-03-13T00:00:00"/>
    <d v="2025-03-13T00:00:00"/>
    <d v="1899-12-30T08:00:00"/>
    <m/>
    <m/>
    <m/>
    <m/>
    <m/>
    <m/>
    <s v="ENV Contractor"/>
    <m/>
    <m/>
    <n v="30"/>
    <n v="8"/>
    <n v="1"/>
    <n v="20"/>
    <n v="30"/>
    <n v="0"/>
    <n v="19"/>
    <n v="0"/>
    <n v="13"/>
    <n v="2"/>
    <n v="0"/>
    <s v="Weaver, Nicole"/>
    <n v="-41"/>
    <n v="0"/>
    <n v="0"/>
    <n v="1"/>
    <n v="0"/>
    <n v="8"/>
    <n v="0"/>
    <n v="2"/>
  </r>
  <r>
    <m/>
    <x v="22"/>
    <s v="A-493-2501"/>
    <s v="05ZE"/>
    <x v="27"/>
    <d v="2025-03-14T00:00:00"/>
    <d v="2025-03-14T00:00:00"/>
    <d v="1899-12-30T08:00:00"/>
    <m/>
    <m/>
    <m/>
    <m/>
    <m/>
    <m/>
    <s v="ENV Contractor"/>
    <m/>
    <m/>
    <n v="30"/>
    <n v="8"/>
    <n v="1"/>
    <n v="23"/>
    <n v="20"/>
    <n v="0"/>
    <n v="15"/>
    <n v="0"/>
    <n v="11"/>
    <n v="7"/>
    <n v="15"/>
    <s v="Weaver, Nicole"/>
    <n v="-40"/>
    <n v="0"/>
    <n v="0"/>
    <n v="1"/>
    <n v="0"/>
    <n v="8"/>
    <n v="10"/>
    <n v="2"/>
  </r>
  <r>
    <m/>
    <x v="34"/>
    <s v="A-493-0103"/>
    <s v="12JY"/>
    <x v="11"/>
    <d v="2025-03-17T00:00:00"/>
    <d v="2025-03-21T00:00:00"/>
    <d v="1899-12-30T08:00:00"/>
    <m/>
    <m/>
    <m/>
    <m/>
    <m/>
    <m/>
    <s v="SOH Contractor"/>
    <m/>
    <m/>
    <n v="25"/>
    <n v="40"/>
    <n v="5"/>
    <n v="248"/>
    <n v="19"/>
    <n v="0"/>
    <n v="17"/>
    <n v="0"/>
    <n v="3"/>
    <n v="0"/>
    <n v="0"/>
    <s v="Kollie, Sarah"/>
    <n v="-33"/>
    <n v="0"/>
    <n v="0"/>
    <n v="1"/>
    <n v="0"/>
    <n v="40"/>
    <n v="6"/>
    <n v="2"/>
  </r>
  <r>
    <m/>
    <x v="34"/>
    <s v="A-493-0103"/>
    <s v="12JY"/>
    <x v="14"/>
    <d v="2025-03-17T00:00:00"/>
    <d v="2025-03-21T00:00:00"/>
    <d v="1899-12-30T08:00:00"/>
    <m/>
    <m/>
    <m/>
    <m/>
    <m/>
    <m/>
    <s v="SOH Contractor"/>
    <m/>
    <m/>
    <n v="25"/>
    <n v="40"/>
    <n v="5"/>
    <m/>
    <n v="16"/>
    <n v="0"/>
    <n v="12"/>
    <n v="1"/>
    <n v="3"/>
    <n v="0"/>
    <n v="0"/>
    <s v="Kollie, Sarah"/>
    <n v="-33"/>
    <n v="0"/>
    <n v="0"/>
    <n v="1"/>
    <n v="0"/>
    <n v="40"/>
    <n v="9"/>
    <n v="2"/>
  </r>
  <r>
    <m/>
    <x v="9"/>
    <s v="A-493-0012"/>
    <n v="3682"/>
    <x v="5"/>
    <d v="2025-03-17T00:00:00"/>
    <d v="2025-03-21T00:00:00"/>
    <d v="1899-12-30T08:00:00"/>
    <m/>
    <m/>
    <m/>
    <m/>
    <m/>
    <m/>
    <s v="W. Bailey"/>
    <m/>
    <m/>
    <n v="40"/>
    <n v="40"/>
    <n v="5"/>
    <n v="40"/>
    <n v="30"/>
    <n v="0"/>
    <n v="16"/>
    <n v="0"/>
    <n v="13"/>
    <n v="0"/>
    <n v="0"/>
    <s v="Weaver, Nicole"/>
    <n v="-33"/>
    <n v="0"/>
    <n v="0"/>
    <n v="1"/>
    <n v="0"/>
    <n v="40"/>
    <n v="10"/>
    <n v="2"/>
  </r>
  <r>
    <m/>
    <x v="20"/>
    <s v="A-493-0061"/>
    <s v="288E"/>
    <x v="0"/>
    <d v="2025-03-17T00:00:00"/>
    <d v="2025-03-20T00:00:00"/>
    <m/>
    <d v="1899-12-30T07:00:00"/>
    <d v="1899-12-30T04:00:00"/>
    <d v="1899-12-30T14:00:00"/>
    <d v="1899-12-30T12:00:00"/>
    <d v="1899-12-30T01:00:00"/>
    <d v="1899-12-30T20:00:00"/>
    <s v="S. Griffin"/>
    <m/>
    <m/>
    <n v="45"/>
    <n v="30"/>
    <n v="4"/>
    <n v="59"/>
    <n v="21"/>
    <n v="0"/>
    <n v="16"/>
    <n v="0"/>
    <n v="5"/>
    <n v="0"/>
    <n v="0"/>
    <s v="Kollie, Sarah"/>
    <n v="-34"/>
    <n v="0"/>
    <n v="0"/>
    <n v="1"/>
    <n v="0"/>
    <n v="30"/>
    <n v="24"/>
    <n v="2"/>
  </r>
  <r>
    <s v="Pacific Time Zone Focused"/>
    <x v="21"/>
    <s v="A-493-0083"/>
    <s v="339E"/>
    <x v="0"/>
    <d v="2025-03-17T00:00:00"/>
    <d v="2025-03-17T00:00:00"/>
    <m/>
    <d v="1899-12-30T11:00:00"/>
    <d v="1899-12-30T08:00:00"/>
    <d v="1899-12-30T18:00:00"/>
    <d v="1899-12-30T16:00:00"/>
    <d v="1899-12-30T05:00:00"/>
    <d v="1899-12-30T00:00:00"/>
    <s v="ENV Contractor"/>
    <m/>
    <m/>
    <n v="30"/>
    <n v="8"/>
    <n v="1"/>
    <n v="0"/>
    <n v="30"/>
    <n v="0"/>
    <n v="27"/>
    <n v="1"/>
    <n v="2"/>
    <n v="0"/>
    <n v="0"/>
    <s v="Weaver, Nicole"/>
    <n v="-37"/>
    <n v="0"/>
    <n v="0"/>
    <n v="1"/>
    <n v="0"/>
    <n v="8"/>
    <n v="0"/>
    <n v="2"/>
  </r>
  <r>
    <m/>
    <x v="27"/>
    <s v="A-493-2300"/>
    <s v="993F"/>
    <x v="22"/>
    <d v="2025-03-17T00:00:00"/>
    <d v="2025-03-18T00:00:00"/>
    <d v="1899-12-30T08:00:00"/>
    <m/>
    <m/>
    <m/>
    <m/>
    <m/>
    <m/>
    <s v="ENV Contractor"/>
    <m/>
    <m/>
    <n v="30"/>
    <n v="16"/>
    <n v="2"/>
    <n v="23"/>
    <n v="28"/>
    <n v="0"/>
    <n v="26"/>
    <n v="0"/>
    <n v="2"/>
    <n v="0"/>
    <n v="0"/>
    <s v="Weaver, Nicole"/>
    <n v="-36"/>
    <n v="0"/>
    <n v="0"/>
    <n v="1"/>
    <n v="0"/>
    <n v="16"/>
    <n v="2"/>
    <n v="2"/>
  </r>
  <r>
    <m/>
    <x v="4"/>
    <s v="A-493-0550"/>
    <s v="09K5"/>
    <x v="0"/>
    <d v="2025-03-17T00:00:00"/>
    <d v="2025-03-20T00:00:00"/>
    <m/>
    <d v="1899-12-30T08:00:00"/>
    <d v="1899-12-30T05:00:00"/>
    <d v="1899-12-30T15:00:00"/>
    <d v="1899-12-30T13:00:00"/>
    <d v="1899-12-30T02:00:00"/>
    <d v="1899-12-30T21:00:00"/>
    <s v="A. DeCastro"/>
    <m/>
    <m/>
    <n v="45"/>
    <n v="32"/>
    <n v="4"/>
    <n v="845"/>
    <n v="42"/>
    <n v="0"/>
    <n v="42"/>
    <n v="0"/>
    <n v="7"/>
    <n v="0"/>
    <n v="0"/>
    <s v="Kollie, Sarah"/>
    <n v="-34"/>
    <n v="0"/>
    <n v="0"/>
    <n v="1"/>
    <n v="0"/>
    <n v="32"/>
    <n v="3"/>
    <n v="2"/>
  </r>
  <r>
    <m/>
    <x v="5"/>
    <s v="A-493-0073"/>
    <s v="714S"/>
    <x v="0"/>
    <d v="2025-03-17T00:00:00"/>
    <d v="2025-03-20T00:00:00"/>
    <m/>
    <d v="1899-12-30T14:00:00"/>
    <d v="1899-12-30T11:00:00"/>
    <d v="1899-12-30T21:00:00"/>
    <d v="1899-12-30T19:00:00"/>
    <d v="1899-12-30T08:00:00"/>
    <d v="1899-12-30T03:00:00"/>
    <s v="SOH Contractor"/>
    <m/>
    <m/>
    <n v="30"/>
    <n v="32"/>
    <n v="4"/>
    <n v="194"/>
    <n v="10"/>
    <n v="0"/>
    <n v="9"/>
    <n v="0"/>
    <n v="4"/>
    <n v="0"/>
    <n v="0"/>
    <s v="Kollie, Sarah"/>
    <n v="-34"/>
    <n v="0"/>
    <n v="0"/>
    <n v="1"/>
    <n v="0"/>
    <n v="32"/>
    <n v="20"/>
    <n v="2"/>
  </r>
  <r>
    <m/>
    <x v="1"/>
    <s v="A-570-0100"/>
    <s v="18B7"/>
    <x v="0"/>
    <d v="2025-03-17T00:00:00"/>
    <d v="2025-03-18T00:00:00"/>
    <m/>
    <d v="1899-12-30T12:00:00"/>
    <d v="1899-12-30T09:00:00"/>
    <d v="1899-12-30T19:00:00"/>
    <d v="1899-12-30T18:00:00"/>
    <d v="1899-12-30T06:00:00"/>
    <d v="1899-12-30T01:00:00"/>
    <s v="LS1 Scoggins"/>
    <s v="BMC Sosaya"/>
    <m/>
    <n v="45"/>
    <n v="16"/>
    <n v="2"/>
    <n v="621"/>
    <n v="17"/>
    <n v="0"/>
    <n v="13"/>
    <n v="1"/>
    <n v="4"/>
    <n v="0"/>
    <n v="0"/>
    <s v="Weaver, Nicole"/>
    <n v="-36"/>
    <n v="0"/>
    <n v="0"/>
    <n v="1"/>
    <n v="1"/>
    <n v="8"/>
    <n v="28"/>
    <n v="2"/>
  </r>
  <r>
    <m/>
    <x v="16"/>
    <s v="A-493-0072"/>
    <s v="713U"/>
    <x v="11"/>
    <d v="2025-03-17T00:00:00"/>
    <d v="2025-03-21T00:00:00"/>
    <d v="1899-12-30T08:00:00"/>
    <m/>
    <m/>
    <m/>
    <m/>
    <m/>
    <m/>
    <s v="B. Jung"/>
    <s v="LTJG Bozenski"/>
    <m/>
    <n v="30"/>
    <n v="40"/>
    <n v="5"/>
    <n v="186"/>
    <n v="29"/>
    <n v="1"/>
    <n v="26"/>
    <n v="0"/>
    <n v="9"/>
    <n v="4"/>
    <n v="0"/>
    <s v="Benzick, Sue"/>
    <n v="-33"/>
    <n v="0"/>
    <n v="0"/>
    <n v="1"/>
    <n v="1"/>
    <n v="20"/>
    <n v="1"/>
    <n v="2"/>
  </r>
  <r>
    <m/>
    <x v="35"/>
    <s v="A-4J-0019"/>
    <s v="28SL"/>
    <x v="29"/>
    <d v="2025-03-17T00:00:00"/>
    <d v="2025-03-21T00:00:00"/>
    <d v="1902-03-10T08:00:00"/>
    <m/>
    <m/>
    <m/>
    <m/>
    <m/>
    <m/>
    <s v="J. Wilson"/>
    <s v="M. Bailey "/>
    <m/>
    <n v="20"/>
    <n v="40"/>
    <n v="5"/>
    <m/>
    <n v="18"/>
    <n v="0"/>
    <n v="17"/>
    <n v="0"/>
    <n v="0"/>
    <n v="0"/>
    <n v="0"/>
    <s v="Benzick, Sue"/>
    <n v="-33"/>
    <n v="0"/>
    <n v="0"/>
    <n v="1"/>
    <n v="1"/>
    <n v="20"/>
    <n v="3"/>
    <m/>
  </r>
  <r>
    <m/>
    <x v="2"/>
    <s v="A-493-2098"/>
    <s v="09WW"/>
    <x v="0"/>
    <d v="2025-03-17T00:00:00"/>
    <d v="2025-03-18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n v="1432"/>
    <n v="96"/>
    <n v="0"/>
    <n v="62"/>
    <n v="18"/>
    <n v="18"/>
    <n v="2"/>
    <n v="0"/>
    <s v="Weaver, Nicole"/>
    <n v="-36"/>
    <n v="0"/>
    <n v="0"/>
    <n v="1"/>
    <n v="0"/>
    <n v="16"/>
    <n v="4"/>
    <n v="2"/>
  </r>
  <r>
    <m/>
    <x v="32"/>
    <s v="A-493-0099"/>
    <s v="12JW"/>
    <x v="0"/>
    <d v="2025-03-18T00:00:00"/>
    <d v="2025-03-20T00:00:00"/>
    <m/>
    <d v="1899-12-30T19:00:00"/>
    <d v="1899-12-30T16:00:00"/>
    <d v="1899-12-30T02:00:00"/>
    <d v="1899-12-30T00:00:00"/>
    <d v="1899-12-30T13:00:00"/>
    <d v="1899-12-30T08:00:00"/>
    <s v="V. Kentish"/>
    <m/>
    <m/>
    <n v="45"/>
    <n v="24"/>
    <n v="3"/>
    <n v="155"/>
    <n v="26"/>
    <n v="0"/>
    <n v="18"/>
    <n v="0"/>
    <n v="8"/>
    <n v="0"/>
    <n v="0"/>
    <s v="Kollie, Sarah"/>
    <n v="-34"/>
    <n v="0"/>
    <n v="0"/>
    <n v="1"/>
    <n v="0"/>
    <n v="24"/>
    <n v="19"/>
    <n v="2"/>
  </r>
  <r>
    <m/>
    <x v="13"/>
    <s v="A-493-0331"/>
    <s v="10UG"/>
    <x v="0"/>
    <d v="2025-03-18T00:00:00"/>
    <d v="2025-03-20T00:00:00"/>
    <m/>
    <d v="1899-12-30T12:00:00"/>
    <d v="1899-12-30T09:00:00"/>
    <d v="1899-12-30T19:00:00"/>
    <d v="1899-12-30T18:00:00"/>
    <d v="1899-12-30T06:00:00"/>
    <d v="1899-12-30T01:00:00"/>
    <s v="K. Seo"/>
    <s v="A.Hardy"/>
    <m/>
    <n v="45"/>
    <n v="24"/>
    <n v="3"/>
    <n v="805"/>
    <n v="43"/>
    <n v="4"/>
    <n v="35"/>
    <n v="3"/>
    <n v="9"/>
    <n v="2"/>
    <n v="0"/>
    <s v="Benzick, Sue"/>
    <n v="-34"/>
    <n v="0"/>
    <n v="0"/>
    <n v="1"/>
    <n v="1"/>
    <n v="12"/>
    <n v="2"/>
    <n v="2"/>
  </r>
  <r>
    <m/>
    <x v="29"/>
    <s v="A-493-0216"/>
    <s v="12X8"/>
    <x v="22"/>
    <d v="2025-03-19T00:00:00"/>
    <d v="2025-03-19T00:00:00"/>
    <d v="1899-12-30T08:00:00"/>
    <m/>
    <m/>
    <m/>
    <m/>
    <m/>
    <m/>
    <s v="ENV Contractor"/>
    <m/>
    <m/>
    <n v="30"/>
    <n v="8"/>
    <n v="1"/>
    <n v="24"/>
    <n v="27"/>
    <n v="0"/>
    <n v="26"/>
    <n v="0"/>
    <n v="3"/>
    <n v="2"/>
    <n v="0"/>
    <s v="Weaver, Nicole"/>
    <n v="-35"/>
    <n v="0"/>
    <n v="0"/>
    <n v="1"/>
    <n v="0"/>
    <n v="8"/>
    <n v="3"/>
    <n v="2"/>
  </r>
  <r>
    <m/>
    <x v="22"/>
    <s v="A-493-2501"/>
    <s v="05ZE"/>
    <x v="22"/>
    <d v="2025-03-20T00:00:00"/>
    <d v="2025-03-20T00:00:00"/>
    <d v="1899-12-30T08:00:00"/>
    <m/>
    <m/>
    <m/>
    <m/>
    <m/>
    <m/>
    <s v="ENV Contractor"/>
    <m/>
    <m/>
    <n v="30"/>
    <n v="8"/>
    <n v="1"/>
    <n v="28"/>
    <n v="8"/>
    <n v="0"/>
    <n v="5"/>
    <n v="0"/>
    <n v="3"/>
    <n v="0"/>
    <n v="0"/>
    <s v="Weaver, Nicole"/>
    <n v="-34"/>
    <n v="0"/>
    <n v="0"/>
    <n v="1"/>
    <n v="0"/>
    <n v="8"/>
    <n v="22"/>
    <n v="2"/>
  </r>
  <r>
    <m/>
    <x v="30"/>
    <s v="A-493-0665"/>
    <s v="10KW"/>
    <x v="0"/>
    <d v="2025-03-24T00:00:00"/>
    <d v="2025-03-26T00:00:00"/>
    <m/>
    <d v="1899-12-30T19:00:00"/>
    <d v="1899-12-30T16:00:00"/>
    <d v="1899-12-30T02:00:00"/>
    <d v="1899-12-30T00:00:00"/>
    <d v="1899-12-30T13:00:00"/>
    <d v="1899-12-30T08:00:00"/>
    <s v="LSC Kitivi"/>
    <m/>
    <m/>
    <n v="45"/>
    <n v="24"/>
    <n v="3"/>
    <n v="39"/>
    <n v="40"/>
    <n v="0"/>
    <n v="32"/>
    <n v="2"/>
    <n v="6"/>
    <n v="0"/>
    <n v="0"/>
    <s v="Weaver, Nicole"/>
    <n v="-28"/>
    <n v="0"/>
    <n v="0"/>
    <n v="1"/>
    <n v="0"/>
    <n v="24"/>
    <n v="5"/>
    <n v="2"/>
  </r>
  <r>
    <s v="Staff Training (ELITE)"/>
    <x v="12"/>
    <s v="Reserved"/>
    <m/>
    <x v="1"/>
    <d v="2025-03-24T00:00:00"/>
    <d v="2025-03-2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26"/>
    <n v="0"/>
    <n v="0"/>
    <n v="0"/>
    <n v="0"/>
    <e v="#DIV/0!"/>
    <m/>
    <m/>
  </r>
  <r>
    <m/>
    <x v="34"/>
    <s v="A-493-0103"/>
    <s v="12JY"/>
    <x v="30"/>
    <d v="2025-03-24T00:00:00"/>
    <d v="2025-03-28T00:00:00"/>
    <d v="1899-12-30T08:00:00"/>
    <m/>
    <m/>
    <m/>
    <m/>
    <m/>
    <m/>
    <s v="SOH Contractor"/>
    <m/>
    <m/>
    <n v="25"/>
    <n v="40"/>
    <n v="5"/>
    <m/>
    <n v="10"/>
    <n v="0"/>
    <n v="7"/>
    <n v="0"/>
    <n v="3"/>
    <n v="0"/>
    <n v="0"/>
    <s v="Kollie, Sarah"/>
    <n v="-26"/>
    <n v="0"/>
    <n v="0"/>
    <n v="1"/>
    <n v="0"/>
    <n v="40"/>
    <n v="20"/>
    <n v="2"/>
  </r>
  <r>
    <m/>
    <x v="34"/>
    <s v="A-493-0103"/>
    <s v="12JY"/>
    <x v="11"/>
    <d v="2025-03-24T00:00:00"/>
    <d v="2025-03-28T00:00:00"/>
    <d v="1899-12-30T08:00:00"/>
    <m/>
    <m/>
    <m/>
    <m/>
    <m/>
    <m/>
    <s v="SOH Contractor"/>
    <m/>
    <m/>
    <n v="25"/>
    <n v="40"/>
    <n v="5"/>
    <n v="248"/>
    <n v="19"/>
    <n v="0"/>
    <n v="18"/>
    <n v="0"/>
    <n v="6"/>
    <n v="0"/>
    <n v="0"/>
    <s v="Kollie, Sarah"/>
    <n v="-26"/>
    <n v="0"/>
    <n v="0"/>
    <n v="1"/>
    <n v="0"/>
    <n v="40"/>
    <n v="6"/>
    <n v="2"/>
  </r>
  <r>
    <s v="USMC"/>
    <x v="9"/>
    <s v="A-493-0012"/>
    <n v="3682"/>
    <x v="31"/>
    <d v="2025-03-24T00:00:00"/>
    <d v="2025-03-28T00:00:00"/>
    <d v="1899-12-30T08:00:00"/>
    <m/>
    <m/>
    <m/>
    <m/>
    <m/>
    <m/>
    <s v="R. Hartel"/>
    <m/>
    <m/>
    <n v="40"/>
    <n v="40"/>
    <n v="5"/>
    <n v="0"/>
    <n v="11"/>
    <n v="0"/>
    <n v="30"/>
    <n v="0"/>
    <n v="2"/>
    <n v="0"/>
    <n v="0"/>
    <s v="Weaver, Nicole"/>
    <n v="-26"/>
    <n v="0"/>
    <n v="0"/>
    <n v="1"/>
    <n v="0"/>
    <n v="40"/>
    <n v="29"/>
    <n v="2"/>
  </r>
  <r>
    <s v="USMC/SMT"/>
    <x v="9"/>
    <s v="A-493-0012"/>
    <n v="3682"/>
    <x v="32"/>
    <d v="2025-03-24T00:00:00"/>
    <d v="2025-03-28T00:00:00"/>
    <d v="1899-12-30T08:00:00"/>
    <m/>
    <m/>
    <m/>
    <m/>
    <m/>
    <m/>
    <s v="W. Bailey"/>
    <m/>
    <m/>
    <n v="40"/>
    <n v="40"/>
    <n v="5"/>
    <n v="0"/>
    <n v="32"/>
    <n v="0"/>
    <n v="19"/>
    <n v="0"/>
    <n v="0"/>
    <n v="10"/>
    <n v="0"/>
    <s v="Weaver, Nicole"/>
    <n v="-26"/>
    <n v="0"/>
    <n v="0"/>
    <n v="1"/>
    <n v="0"/>
    <n v="40"/>
    <n v="8"/>
    <n v="2"/>
  </r>
  <r>
    <s v="SPECIAL CONVENING"/>
    <x v="26"/>
    <s v="A-4J-0022"/>
    <s v="09ER"/>
    <x v="0"/>
    <d v="2025-03-25T00:00:00"/>
    <d v="2025-03-26T00:00:00"/>
    <m/>
    <d v="1899-12-30T19:00:00"/>
    <d v="1899-12-30T16:00:00"/>
    <d v="1899-12-30T03:00:00"/>
    <d v="1899-12-30T01:00:00"/>
    <d v="1899-12-30T14:00:00"/>
    <d v="1899-12-30T09:00:00"/>
    <s v="BMC Sosaya"/>
    <m/>
    <m/>
    <n v="45"/>
    <n v="16"/>
    <m/>
    <m/>
    <n v="49"/>
    <n v="0"/>
    <n v="36"/>
    <n v="3"/>
    <n v="11"/>
    <n v="0"/>
    <n v="0"/>
    <s v="Weaver, Nicole"/>
    <n v="-28"/>
    <n v="0"/>
    <n v="0"/>
    <n v="1"/>
    <n v="0"/>
    <n v="16"/>
    <m/>
    <m/>
  </r>
  <r>
    <m/>
    <x v="21"/>
    <s v="A-493-0083"/>
    <s v="339E"/>
    <x v="33"/>
    <d v="2025-03-27T00:00:00"/>
    <d v="2025-03-27T00:00:00"/>
    <d v="1899-12-30T08:00:00"/>
    <m/>
    <m/>
    <m/>
    <m/>
    <m/>
    <m/>
    <s v="ENV Contractor"/>
    <m/>
    <m/>
    <n v="30"/>
    <n v="8"/>
    <n v="1"/>
    <n v="61"/>
    <n v="11"/>
    <n v="0"/>
    <n v="10"/>
    <n v="0"/>
    <n v="1"/>
    <n v="0"/>
    <n v="0"/>
    <s v="Weaver, Nicole"/>
    <n v="-27"/>
    <n v="0"/>
    <n v="0"/>
    <n v="1"/>
    <n v="0"/>
    <n v="8"/>
    <n v="19"/>
    <n v="2"/>
  </r>
  <r>
    <s v="TMC Newman/ FLDC"/>
    <x v="12"/>
    <s v="Reserved"/>
    <m/>
    <x v="1"/>
    <d v="2025-03-31T00:00:00"/>
    <d v="2025-02-04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78"/>
    <n v="0"/>
    <n v="0"/>
    <n v="0"/>
    <n v="0"/>
    <e v="#DIV/0!"/>
    <m/>
    <m/>
  </r>
  <r>
    <m/>
    <x v="9"/>
    <s v="A-493-0012"/>
    <n v="3682"/>
    <x v="34"/>
    <d v="2025-03-31T00:00:00"/>
    <d v="2025-04-04T00:00:00"/>
    <d v="1899-12-30T08:00:00"/>
    <m/>
    <m/>
    <m/>
    <m/>
    <m/>
    <m/>
    <s v="R. Hartel"/>
    <m/>
    <m/>
    <n v="40"/>
    <n v="40"/>
    <n v="5"/>
    <n v="21"/>
    <n v="23"/>
    <n v="0"/>
    <n v="23"/>
    <n v="0"/>
    <n v="1"/>
    <n v="2"/>
    <n v="0"/>
    <s v="Weaver, Nicole"/>
    <n v="-19"/>
    <n v="0"/>
    <n v="0"/>
    <n v="1"/>
    <n v="0"/>
    <n v="40"/>
    <n v="17"/>
    <n v="2"/>
  </r>
  <r>
    <m/>
    <x v="0"/>
    <s v="A-322-2604"/>
    <s v="10ZZ"/>
    <x v="0"/>
    <d v="2025-03-31T00:00:00"/>
    <d v="2025-04-02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45"/>
    <n v="2"/>
    <n v="38"/>
    <n v="1"/>
    <n v="5"/>
    <n v="0"/>
    <n v="0"/>
    <s v="Benzick, Sue"/>
    <n v="-21"/>
    <n v="0"/>
    <n v="0"/>
    <n v="1"/>
    <n v="0"/>
    <n v="24"/>
    <n v="2"/>
    <n v="2"/>
  </r>
  <r>
    <m/>
    <x v="4"/>
    <s v="A-493-0550"/>
    <s v="09K5"/>
    <x v="0"/>
    <d v="2025-03-31T00:00:00"/>
    <d v="2025-04-03T00:00:00"/>
    <m/>
    <d v="1899-12-30T10:00:00"/>
    <d v="1899-12-30T07:00:00"/>
    <d v="1899-12-30T17:00:00"/>
    <d v="1899-12-30T16:00:00"/>
    <d v="1899-12-30T04:00:00"/>
    <d v="1899-12-30T23:00:00"/>
    <s v="A. DeCastro"/>
    <m/>
    <m/>
    <n v="45"/>
    <n v="32"/>
    <n v="4"/>
    <n v="465"/>
    <n v="45"/>
    <n v="0"/>
    <n v="44"/>
    <n v="1"/>
    <n v="4"/>
    <n v="0"/>
    <n v="0"/>
    <s v="Kollie, Sarah"/>
    <n v="-20"/>
    <n v="0"/>
    <n v="0"/>
    <n v="1"/>
    <n v="0"/>
    <n v="32"/>
    <n v="0"/>
    <n v="2"/>
  </r>
  <r>
    <m/>
    <x v="6"/>
    <s v="A-493-0085"/>
    <n v="3555"/>
    <x v="0"/>
    <d v="2025-03-31T00:00:00"/>
    <d v="2025-04-03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n v="503"/>
    <n v="12"/>
    <n v="0"/>
    <n v="10"/>
    <n v="1"/>
    <n v="1"/>
    <n v="0"/>
    <n v="1"/>
    <s v="Benzick, Sue"/>
    <n v="-20"/>
    <n v="0"/>
    <n v="0"/>
    <n v="1"/>
    <n v="0"/>
    <n v="32"/>
    <n v="33"/>
    <n v="2"/>
  </r>
  <r>
    <m/>
    <x v="1"/>
    <s v="A-570-0100"/>
    <s v="18B7"/>
    <x v="0"/>
    <d v="2025-03-31T00:00:00"/>
    <d v="2025-04-01T00:00:00"/>
    <m/>
    <d v="1899-12-30T12:00:00"/>
    <d v="1899-12-30T09:00:00"/>
    <d v="1899-12-30T19:00:00"/>
    <d v="1899-12-30T18:00:00"/>
    <d v="1899-12-30T06:00:00"/>
    <d v="1899-12-30T01:00:00"/>
    <s v="BMC Sosaya"/>
    <m/>
    <m/>
    <n v="45"/>
    <n v="16"/>
    <n v="2"/>
    <n v="621"/>
    <n v="23"/>
    <n v="0"/>
    <n v="20"/>
    <n v="2"/>
    <n v="2"/>
    <n v="0"/>
    <n v="0"/>
    <s v="Weaver, Nicole"/>
    <n v="-22"/>
    <n v="0"/>
    <n v="0"/>
    <n v="1"/>
    <n v="0"/>
    <n v="16"/>
    <n v="22"/>
    <n v="2"/>
  </r>
  <r>
    <m/>
    <x v="2"/>
    <s v="A-493-2098"/>
    <s v="09WW"/>
    <x v="0"/>
    <d v="2025-03-31T00:00:00"/>
    <d v="2025-04-01T00:00:00"/>
    <m/>
    <d v="1899-12-30T19:00:00"/>
    <d v="1899-12-30T16:00:00"/>
    <d v="1899-12-30T02:00:00"/>
    <d v="1899-12-30T00:00:00"/>
    <d v="1899-12-30T13:00:00"/>
    <d v="1899-12-30T08:00:00"/>
    <s v="EMC Stroughn"/>
    <m/>
    <m/>
    <n v="100"/>
    <n v="16"/>
    <n v="2"/>
    <n v="161"/>
    <n v="88"/>
    <n v="0"/>
    <n v="67"/>
    <n v="6"/>
    <n v="22"/>
    <n v="3"/>
    <n v="0"/>
    <s v="Weaver, Nicole"/>
    <n v="-22"/>
    <n v="0"/>
    <n v="0"/>
    <n v="1"/>
    <n v="0"/>
    <n v="16"/>
    <n v="12"/>
    <n v="2"/>
  </r>
  <r>
    <m/>
    <x v="32"/>
    <s v="A-493-0099"/>
    <s v="12JW"/>
    <x v="0"/>
    <d v="2025-04-01T00:00:00"/>
    <d v="2025-04-03T00:00:00"/>
    <m/>
    <d v="1899-12-30T07:00:00"/>
    <d v="1899-12-30T04:00:00"/>
    <d v="1899-12-30T14:00:00"/>
    <d v="1899-12-30T12:00:00"/>
    <d v="1899-12-30T01:00:00"/>
    <d v="1899-12-30T20:00:00"/>
    <s v="V. Kentish"/>
    <m/>
    <m/>
    <n v="45"/>
    <n v="24"/>
    <n v="3"/>
    <m/>
    <n v="39"/>
    <n v="0"/>
    <n v="37"/>
    <n v="1"/>
    <n v="6"/>
    <n v="0"/>
    <n v="0"/>
    <s v="Kollie, Sarah"/>
    <n v="-20"/>
    <n v="0"/>
    <n v="0"/>
    <n v="1"/>
    <n v="0"/>
    <n v="24"/>
    <n v="6"/>
    <n v="3"/>
  </r>
  <r>
    <m/>
    <x v="3"/>
    <s v="A-493-0078"/>
    <n v="1228"/>
    <x v="0"/>
    <d v="2025-04-01T00:00:00"/>
    <d v="2025-04-04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n v="508"/>
    <n v="44"/>
    <n v="0"/>
    <n v="40"/>
    <n v="1"/>
    <n v="7"/>
    <n v="0"/>
    <n v="0"/>
    <s v="Kollie, Sarah"/>
    <n v="-19"/>
    <n v="0"/>
    <n v="0"/>
    <n v="1"/>
    <n v="0"/>
    <n v="32"/>
    <n v="1"/>
    <n v="3"/>
  </r>
  <r>
    <m/>
    <x v="5"/>
    <s v="A-493-0073"/>
    <s v="714S"/>
    <x v="0"/>
    <d v="2025-04-07T00:00:00"/>
    <d v="2025-04-10T00:00:00"/>
    <m/>
    <d v="1899-12-30T19:00:00"/>
    <d v="1899-12-30T16:00:00"/>
    <d v="1899-12-30T02:00:00"/>
    <d v="1899-12-30T00:00:00"/>
    <d v="1899-12-30T13:00:00"/>
    <d v="1899-12-30T08:00:00"/>
    <s v="SOH Contractor"/>
    <m/>
    <m/>
    <n v="30"/>
    <n v="32"/>
    <n v="4"/>
    <n v="129"/>
    <n v="9"/>
    <n v="0"/>
    <n v="8"/>
    <n v="0"/>
    <n v="0"/>
    <n v="0"/>
    <n v="0"/>
    <s v="Kollie, Sarah"/>
    <n v="-13"/>
    <n v="0"/>
    <n v="0"/>
    <n v="1"/>
    <n v="0"/>
    <n v="32"/>
    <n v="21"/>
    <n v="3"/>
  </r>
  <r>
    <m/>
    <x v="3"/>
    <s v="A-493-0078"/>
    <n v="1228"/>
    <x v="0"/>
    <d v="2025-04-07T00:00:00"/>
    <d v="2025-04-10T00:00:00"/>
    <m/>
    <d v="1899-12-30T11:00:00"/>
    <d v="1899-12-30T08:00:00"/>
    <d v="1899-12-30T18:00:00"/>
    <d v="1899-12-30T16:00:00"/>
    <d v="1899-12-30T05:00:00"/>
    <d v="1899-12-30T00:00:00"/>
    <s v="T. White"/>
    <m/>
    <m/>
    <n v="45"/>
    <n v="32"/>
    <n v="4"/>
    <m/>
    <n v="44"/>
    <n v="0"/>
    <n v="42"/>
    <n v="0"/>
    <n v="3"/>
    <n v="0"/>
    <n v="0"/>
    <s v="Kollie, Sarah"/>
    <n v="-13"/>
    <n v="0"/>
    <n v="0"/>
    <n v="1"/>
    <n v="0"/>
    <n v="32"/>
    <n v="1"/>
    <n v="3"/>
  </r>
  <r>
    <m/>
    <x v="0"/>
    <s v="A-322-2604"/>
    <s v="10ZZ"/>
    <x v="0"/>
    <d v="2025-04-07T00:00:00"/>
    <d v="2025-04-09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m/>
    <n v="45"/>
    <n v="1"/>
    <n v="42"/>
    <n v="0"/>
    <n v="3"/>
    <n v="0"/>
    <n v="0"/>
    <s v="Benzick, Sue"/>
    <n v="-14"/>
    <n v="0"/>
    <n v="0"/>
    <n v="1"/>
    <n v="0"/>
    <n v="24"/>
    <n v="0"/>
    <n v="3"/>
  </r>
  <r>
    <m/>
    <x v="16"/>
    <s v="A-493-0072"/>
    <s v="713U"/>
    <x v="4"/>
    <d v="2025-04-07T00:00:00"/>
    <d v="2025-04-11T00:00:00"/>
    <d v="1899-12-30T08:00:00"/>
    <m/>
    <m/>
    <m/>
    <m/>
    <m/>
    <m/>
    <s v="LT Andrew"/>
    <s v="K. Seo"/>
    <m/>
    <n v="30"/>
    <n v="40"/>
    <n v="5"/>
    <m/>
    <n v="28"/>
    <n v="4"/>
    <n v="25"/>
    <n v="0"/>
    <n v="9"/>
    <n v="4"/>
    <n v="0"/>
    <s v="Benzick, Sue"/>
    <n v="-12"/>
    <n v="0"/>
    <n v="0"/>
    <n v="1"/>
    <n v="1"/>
    <n v="20"/>
    <n v="2"/>
    <n v="3"/>
  </r>
  <r>
    <s v="specail convening for staff"/>
    <x v="23"/>
    <s v="A-493-0014"/>
    <n v="3878"/>
    <x v="0"/>
    <d v="2025-04-07T00:00:00"/>
    <d v="2025-04-09T00:00:00"/>
    <m/>
    <d v="1899-12-30T06:00:00"/>
    <d v="1899-12-30T03:00:00"/>
    <d v="1899-12-30T13:00:00"/>
    <d v="1899-12-30T12:00:00"/>
    <d v="1899-12-30T00:00:00"/>
    <d v="1899-12-30T19:00:00"/>
    <s v="B. Jung"/>
    <m/>
    <m/>
    <n v="25"/>
    <n v="24"/>
    <m/>
    <m/>
    <n v="0"/>
    <n v="0"/>
    <n v="2"/>
    <n v="0"/>
    <n v="0"/>
    <n v="0"/>
    <n v="0"/>
    <s v="Benzick, Sue"/>
    <n v="-14"/>
    <n v="0"/>
    <n v="0"/>
    <n v="1"/>
    <n v="0"/>
    <n v="24"/>
    <m/>
    <m/>
  </r>
  <r>
    <s v="Key West, FL (CNRSE)"/>
    <x v="9"/>
    <s v="A-493-0012"/>
    <n v="3682"/>
    <x v="35"/>
    <d v="2025-04-07T00:00:00"/>
    <d v="2025-04-11T00:00:00"/>
    <d v="1899-12-30T08:00:00"/>
    <m/>
    <m/>
    <m/>
    <m/>
    <m/>
    <m/>
    <s v="R. Hartel"/>
    <m/>
    <m/>
    <n v="40"/>
    <n v="40"/>
    <n v="5"/>
    <n v="20"/>
    <n v="30"/>
    <n v="0"/>
    <n v="26"/>
    <n v="0"/>
    <n v="4"/>
    <n v="0"/>
    <n v="0"/>
    <s v="Weaver, Nicole"/>
    <n v="-12"/>
    <n v="0"/>
    <n v="0"/>
    <n v="1"/>
    <n v="0"/>
    <n v="40"/>
    <n v="10"/>
    <n v="3"/>
  </r>
  <r>
    <m/>
    <x v="9"/>
    <s v="A-493-0012"/>
    <n v="3682"/>
    <x v="36"/>
    <d v="2025-04-07T00:00:00"/>
    <d v="2025-04-11T00:00:00"/>
    <d v="1899-12-30T08:00:00"/>
    <m/>
    <m/>
    <m/>
    <m/>
    <m/>
    <m/>
    <s v="G. Jester"/>
    <m/>
    <m/>
    <n v="40"/>
    <n v="40"/>
    <n v="5"/>
    <n v="21"/>
    <n v="38"/>
    <n v="0"/>
    <n v="30"/>
    <n v="0"/>
    <n v="8"/>
    <n v="0"/>
    <n v="0"/>
    <s v="Weaver, Nicole"/>
    <n v="-12"/>
    <n v="0"/>
    <n v="0"/>
    <n v="1"/>
    <n v="0"/>
    <n v="40"/>
    <n v="2"/>
    <n v="3"/>
  </r>
  <r>
    <m/>
    <x v="36"/>
    <s v="A-493-0077"/>
    <s v="0381"/>
    <x v="37"/>
    <d v="2025-04-07T00:00:00"/>
    <d v="2025-04-09T00:00:00"/>
    <d v="1899-12-30T08:00:00"/>
    <m/>
    <m/>
    <m/>
    <m/>
    <m/>
    <m/>
    <s v="ENV Contractor"/>
    <m/>
    <m/>
    <n v="25"/>
    <n v="24"/>
    <n v="3"/>
    <n v="33"/>
    <n v="5"/>
    <n v="0"/>
    <n v="8"/>
    <n v="0"/>
    <n v="0"/>
    <n v="2"/>
    <n v="0"/>
    <s v="Weaver, Nicole"/>
    <n v="-14"/>
    <n v="0"/>
    <n v="0"/>
    <n v="1"/>
    <n v="0"/>
    <n v="24"/>
    <n v="20"/>
    <n v="3"/>
  </r>
  <r>
    <s v="Eastern Time Zone"/>
    <x v="21"/>
    <s v="A-493-0083"/>
    <s v="339E"/>
    <x v="0"/>
    <d v="2025-04-07T00:00:00"/>
    <d v="2025-04-07T00:00:00"/>
    <m/>
    <d v="1899-12-30T08:00:00"/>
    <d v="1899-12-30T05:00:00"/>
    <d v="1899-12-30T15:00:00"/>
    <d v="1899-12-30T13:00:00"/>
    <d v="1899-12-30T02:00:00"/>
    <d v="1899-12-30T21:00:00"/>
    <s v="ENV Contractor"/>
    <m/>
    <m/>
    <n v="30"/>
    <n v="8"/>
    <n v="1"/>
    <n v="0"/>
    <n v="29"/>
    <n v="3"/>
    <n v="30"/>
    <n v="0"/>
    <n v="3"/>
    <n v="3"/>
    <n v="0"/>
    <s v="Weaver, Nicole"/>
    <n v="-16"/>
    <n v="0"/>
    <n v="0"/>
    <n v="1"/>
    <n v="0"/>
    <n v="8"/>
    <n v="1"/>
    <n v="3"/>
  </r>
  <r>
    <m/>
    <x v="2"/>
    <s v="A-493-2098"/>
    <s v="09WW"/>
    <x v="0"/>
    <d v="2025-04-07T00:00:00"/>
    <d v="2025-04-09T00:00:00"/>
    <m/>
    <d v="1899-12-30T08:00:00"/>
    <d v="1899-12-30T05:00:00"/>
    <d v="1899-12-30T15:00:00"/>
    <d v="1899-12-30T13:00:00"/>
    <d v="1899-12-30T02:00:00"/>
    <d v="1899-12-30T21:00:00"/>
    <s v="EMC Stroughn"/>
    <m/>
    <m/>
    <n v="100"/>
    <n v="16"/>
    <n v="2"/>
    <m/>
    <n v="100"/>
    <n v="0"/>
    <m/>
    <m/>
    <m/>
    <m/>
    <m/>
    <m/>
    <n v="-14"/>
    <n v="1"/>
    <n v="0"/>
    <n v="1"/>
    <n v="0"/>
    <n v="16"/>
    <n v="0"/>
    <n v="3"/>
  </r>
  <r>
    <m/>
    <x v="21"/>
    <s v="A-493-0083"/>
    <s v="339E"/>
    <x v="37"/>
    <d v="2025-04-10T00:00:00"/>
    <d v="2025-04-10T00:00:00"/>
    <d v="1899-12-30T08:00:00"/>
    <m/>
    <m/>
    <m/>
    <m/>
    <m/>
    <m/>
    <s v="ENV Contractor"/>
    <m/>
    <m/>
    <n v="30"/>
    <n v="8"/>
    <n v="1"/>
    <n v="32"/>
    <n v="2"/>
    <n v="0"/>
    <n v="2"/>
    <n v="0"/>
    <n v="0"/>
    <n v="0"/>
    <n v="0"/>
    <s v="Weaver, Nicole"/>
    <n v="-13"/>
    <n v="0"/>
    <n v="0"/>
    <n v="1"/>
    <n v="0"/>
    <n v="8"/>
    <n v="28"/>
    <n v="3"/>
  </r>
  <r>
    <s v="QTR 3 All Hands @1000/Potluck (Both Classrooms use)"/>
    <x v="8"/>
    <s v="Function"/>
    <s v="Function"/>
    <x v="1"/>
    <d v="2025-04-14T00:00:00"/>
    <d v="2025-04-14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9"/>
    <n v="0"/>
    <n v="0"/>
    <n v="0"/>
    <n v="0"/>
    <e v="#DIV/0!"/>
    <m/>
    <n v="3"/>
  </r>
  <r>
    <m/>
    <x v="18"/>
    <s v="A-493-0069"/>
    <s v="450U"/>
    <x v="4"/>
    <d v="2025-04-14T00:00:00"/>
    <d v="2025-04-18T00:00:00"/>
    <d v="1899-12-30T08:00:00"/>
    <m/>
    <m/>
    <m/>
    <m/>
    <m/>
    <m/>
    <s v="B. Jung"/>
    <m/>
    <m/>
    <n v="25"/>
    <n v="40"/>
    <n v="5"/>
    <m/>
    <n v="2"/>
    <n v="0"/>
    <n v="2"/>
    <n v="0"/>
    <n v="0"/>
    <n v="0"/>
    <n v="0"/>
    <s v="Benzick, Sue"/>
    <n v="-5"/>
    <n v="0"/>
    <n v="0"/>
    <n v="1"/>
    <n v="0"/>
    <n v="40"/>
    <m/>
    <m/>
  </r>
  <r>
    <m/>
    <x v="34"/>
    <s v="A-493-0103"/>
    <s v="12JY"/>
    <x v="38"/>
    <d v="2025-04-14T00:00:00"/>
    <d v="2025-04-18T00:00:00"/>
    <d v="1899-12-30T08:00:00"/>
    <m/>
    <m/>
    <m/>
    <m/>
    <m/>
    <m/>
    <s v="SOH Contractor"/>
    <m/>
    <m/>
    <n v="25"/>
    <n v="40"/>
    <n v="5"/>
    <n v="12"/>
    <n v="25"/>
    <n v="0"/>
    <m/>
    <m/>
    <m/>
    <m/>
    <m/>
    <m/>
    <n v="-5"/>
    <n v="1"/>
    <n v="0"/>
    <n v="1"/>
    <n v="0"/>
    <n v="40"/>
    <n v="0"/>
    <n v="3"/>
  </r>
  <r>
    <s v="PDS Prep Week"/>
    <x v="40"/>
    <s v="PDS"/>
    <s v="PDS"/>
    <x v="39"/>
    <d v="2025-04-14T00:00:00"/>
    <d v="2025-04-18T00:00:00"/>
    <m/>
    <m/>
    <m/>
    <m/>
    <m/>
    <m/>
    <m/>
    <m/>
    <m/>
    <m/>
    <n v="0"/>
    <n v="0"/>
    <n v="0"/>
    <m/>
    <n v="0"/>
    <n v="0"/>
    <n v="0"/>
    <n v="0"/>
    <n v="0"/>
    <n v="0"/>
    <n v="0"/>
    <s v="Carter, Amanda"/>
    <n v="-5"/>
    <n v="0"/>
    <n v="0"/>
    <n v="0"/>
    <n v="0"/>
    <e v="#DIV/0!"/>
    <m/>
    <n v="3"/>
  </r>
  <r>
    <s v="PDS Prep Week"/>
    <x v="40"/>
    <s v="PDS"/>
    <s v="PDS"/>
    <x v="0"/>
    <d v="2025-04-14T00:00:00"/>
    <d v="2025-04-1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5"/>
    <n v="0"/>
    <n v="0"/>
    <n v="0"/>
    <n v="0"/>
    <e v="#DIV/0!"/>
    <m/>
    <m/>
  </r>
  <r>
    <m/>
    <x v="9"/>
    <s v="A-493-0012"/>
    <n v="3682"/>
    <x v="40"/>
    <d v="2025-04-14T00:00:00"/>
    <d v="2025-04-18T00:00:00"/>
    <d v="1899-12-30T08:00:00"/>
    <m/>
    <m/>
    <m/>
    <m/>
    <m/>
    <m/>
    <s v="W. Bailey"/>
    <m/>
    <m/>
    <n v="40"/>
    <n v="40"/>
    <n v="5"/>
    <n v="40"/>
    <n v="26"/>
    <n v="0"/>
    <n v="27"/>
    <n v="0"/>
    <n v="1"/>
    <n v="2"/>
    <n v="0"/>
    <s v="Weaver, Nicole"/>
    <n v="-5"/>
    <n v="0"/>
    <n v="0"/>
    <n v="1"/>
    <n v="0"/>
    <n v="40"/>
    <n v="14"/>
    <n v="3"/>
  </r>
  <r>
    <s v="NAVSUP FLCS"/>
    <x v="24"/>
    <s v="A-493-0013"/>
    <n v="3683"/>
    <x v="36"/>
    <d v="2025-04-14T00:00:00"/>
    <d v="2025-04-16T00:00:00"/>
    <d v="1899-12-30T08:00:00"/>
    <m/>
    <m/>
    <m/>
    <m/>
    <m/>
    <m/>
    <s v="G. Jester"/>
    <m/>
    <m/>
    <n v="40"/>
    <n v="24"/>
    <n v="3"/>
    <n v="20"/>
    <n v="24"/>
    <n v="0"/>
    <m/>
    <m/>
    <m/>
    <m/>
    <m/>
    <m/>
    <n v="-7"/>
    <n v="1"/>
    <n v="0"/>
    <n v="1"/>
    <n v="0"/>
    <n v="24"/>
    <n v="16"/>
    <n v="3"/>
  </r>
  <r>
    <m/>
    <x v="27"/>
    <s v="A-493-2300"/>
    <s v="993F"/>
    <x v="41"/>
    <d v="2025-04-14T00:00:00"/>
    <d v="2025-04-15T00:00:00"/>
    <d v="1899-12-30T08:00:00"/>
    <m/>
    <m/>
    <m/>
    <m/>
    <m/>
    <m/>
    <s v="ENV Contractor"/>
    <m/>
    <m/>
    <n v="30"/>
    <n v="16"/>
    <n v="2"/>
    <n v="20"/>
    <n v="10"/>
    <n v="0"/>
    <m/>
    <m/>
    <m/>
    <m/>
    <m/>
    <m/>
    <n v="-8"/>
    <n v="1"/>
    <n v="0"/>
    <n v="1"/>
    <n v="0"/>
    <n v="16"/>
    <n v="20"/>
    <n v="3"/>
  </r>
  <r>
    <m/>
    <x v="4"/>
    <s v="A-493-0550"/>
    <s v="09K5"/>
    <x v="0"/>
    <d v="2025-04-15T00:00:00"/>
    <d v="2025-04-18T00:00:00"/>
    <m/>
    <d v="1899-12-30T12:00:00"/>
    <d v="1899-12-30T09:00:00"/>
    <d v="1899-12-30T19:00:00"/>
    <d v="1899-12-30T18:00:00"/>
    <d v="1899-12-30T06:00:00"/>
    <d v="1899-12-30T01:00:00"/>
    <s v="A. DeCastro"/>
    <m/>
    <m/>
    <n v="45"/>
    <n v="32"/>
    <n v="4"/>
    <m/>
    <n v="45"/>
    <n v="0"/>
    <n v="41"/>
    <n v="0"/>
    <n v="3"/>
    <n v="0"/>
    <n v="0"/>
    <s v="Kollie, Sarah"/>
    <n v="-5"/>
    <n v="0"/>
    <n v="0"/>
    <n v="1"/>
    <n v="0"/>
    <n v="32"/>
    <n v="0"/>
    <n v="3"/>
  </r>
  <r>
    <m/>
    <x v="38"/>
    <s v="A-493-2301"/>
    <s v="05ZD"/>
    <x v="41"/>
    <d v="2025-04-16T00:00:00"/>
    <d v="2025-04-16T00:00:00"/>
    <d v="1899-12-30T08:00:00"/>
    <m/>
    <m/>
    <m/>
    <m/>
    <m/>
    <m/>
    <s v="ENV Contractor"/>
    <m/>
    <m/>
    <n v="30"/>
    <n v="8"/>
    <n v="1"/>
    <n v="35"/>
    <n v="23"/>
    <n v="0"/>
    <m/>
    <m/>
    <m/>
    <m/>
    <m/>
    <m/>
    <n v="-7"/>
    <n v="1"/>
    <n v="0"/>
    <n v="1"/>
    <n v="0"/>
    <n v="8"/>
    <n v="7"/>
    <n v="3"/>
  </r>
  <r>
    <m/>
    <x v="22"/>
    <s v="A-493-2501"/>
    <s v="05ZE"/>
    <x v="41"/>
    <d v="2025-04-17T00:00:00"/>
    <d v="2025-04-17T00:00:00"/>
    <d v="1899-12-30T08:00:00"/>
    <m/>
    <m/>
    <m/>
    <m/>
    <m/>
    <m/>
    <s v="ENV Contractor"/>
    <m/>
    <m/>
    <n v="30"/>
    <n v="8"/>
    <n v="1"/>
    <n v="42"/>
    <n v="30"/>
    <n v="0"/>
    <m/>
    <m/>
    <m/>
    <m/>
    <m/>
    <m/>
    <n v="-6"/>
    <n v="1"/>
    <n v="0"/>
    <n v="1"/>
    <n v="0"/>
    <n v="8"/>
    <n v="0"/>
    <n v="3"/>
  </r>
  <r>
    <s v="PDS Week"/>
    <x v="40"/>
    <s v="PDS"/>
    <s v="PDS"/>
    <x v="39"/>
    <d v="2025-04-21T00:00:00"/>
    <d v="2025-04-26T00:00:00"/>
    <m/>
    <m/>
    <m/>
    <m/>
    <m/>
    <m/>
    <m/>
    <s v="TBD"/>
    <m/>
    <m/>
    <n v="0"/>
    <n v="0"/>
    <n v="0"/>
    <m/>
    <n v="0"/>
    <n v="0"/>
    <n v="0"/>
    <n v="0"/>
    <n v="0"/>
    <n v="0"/>
    <n v="0"/>
    <s v="Carter, Amanda"/>
    <n v="3"/>
    <n v="0"/>
    <n v="0"/>
    <n v="1"/>
    <n v="0"/>
    <n v="0"/>
    <m/>
    <n v="3"/>
  </r>
  <r>
    <s v="PDS Week"/>
    <x v="40"/>
    <s v="PDS"/>
    <s v="PDS"/>
    <x v="0"/>
    <d v="2025-04-21T00:00:00"/>
    <d v="2025-04-26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3"/>
    <n v="0"/>
    <n v="0"/>
    <n v="0"/>
    <n v="0"/>
    <e v="#DIV/0!"/>
    <m/>
    <m/>
  </r>
  <r>
    <s v="CFA YOKOSUKA"/>
    <x v="9"/>
    <s v="A-493-0012"/>
    <n v="3682"/>
    <x v="22"/>
    <d v="2025-04-21T00:00:00"/>
    <d v="2025-04-25T00:00:00"/>
    <d v="1899-12-30T08:00:00"/>
    <m/>
    <m/>
    <m/>
    <m/>
    <m/>
    <m/>
    <s v="G. Jester"/>
    <m/>
    <m/>
    <n v="40"/>
    <n v="40"/>
    <n v="5"/>
    <n v="20"/>
    <n v="27"/>
    <n v="0"/>
    <m/>
    <m/>
    <m/>
    <m/>
    <m/>
    <m/>
    <n v="2"/>
    <n v="1"/>
    <n v="0"/>
    <n v="1"/>
    <n v="0"/>
    <n v="40"/>
    <n v="13"/>
    <n v="3"/>
  </r>
  <r>
    <s v="POC: NMCFHPC Darnell, Brett A "/>
    <x v="12"/>
    <s v="Reserved"/>
    <s v="Reserved "/>
    <x v="4"/>
    <d v="2025-04-22T00:00:00"/>
    <d v="2025-04-23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0"/>
    <n v="0"/>
    <n v="0"/>
    <n v="0"/>
    <n v="0"/>
    <e v="#DIV/0!"/>
    <m/>
    <m/>
  </r>
  <r>
    <m/>
    <x v="24"/>
    <s v="A-493-0013"/>
    <n v="3683"/>
    <x v="42"/>
    <d v="2025-04-22T00:00:00"/>
    <d v="2025-04-24T00:00:00"/>
    <d v="1899-12-30T08:00:00"/>
    <m/>
    <m/>
    <m/>
    <m/>
    <m/>
    <m/>
    <s v="R. Hartel"/>
    <m/>
    <m/>
    <n v="40"/>
    <n v="24"/>
    <n v="3"/>
    <n v="21"/>
    <n v="17"/>
    <n v="0"/>
    <m/>
    <m/>
    <m/>
    <m/>
    <m/>
    <m/>
    <n v="1"/>
    <n v="1"/>
    <n v="0"/>
    <n v="1"/>
    <n v="0"/>
    <n v="24"/>
    <n v="23"/>
    <n v="3"/>
  </r>
  <r>
    <m/>
    <x v="30"/>
    <s v="A-493-0665"/>
    <s v="10KW"/>
    <x v="0"/>
    <d v="2025-04-28T00:00:00"/>
    <d v="2025-04-30T00:00:00"/>
    <m/>
    <d v="1899-12-30T12:00:00"/>
    <d v="1899-12-30T09:00:00"/>
    <d v="1899-12-30T19:00:00"/>
    <d v="1899-12-30T18:00:00"/>
    <d v="1899-12-30T06:00:00"/>
    <d v="1899-12-30T01:00:00"/>
    <s v="LSC Kitivi"/>
    <m/>
    <m/>
    <n v="45"/>
    <n v="24"/>
    <n v="3"/>
    <m/>
    <n v="25"/>
    <n v="0"/>
    <m/>
    <m/>
    <m/>
    <m/>
    <m/>
    <m/>
    <n v="7"/>
    <n v="1"/>
    <n v="1"/>
    <n v="1"/>
    <n v="0"/>
    <n v="24"/>
    <n v="20"/>
    <n v="3"/>
  </r>
  <r>
    <m/>
    <x v="34"/>
    <s v="A-493-0103"/>
    <s v="12JY"/>
    <x v="11"/>
    <d v="2025-04-28T00:00:00"/>
    <d v="2025-05-02T00:00:00"/>
    <d v="1899-12-30T08:00:00"/>
    <m/>
    <m/>
    <m/>
    <m/>
    <m/>
    <m/>
    <s v="SOH Contractor"/>
    <m/>
    <m/>
    <n v="25"/>
    <n v="40"/>
    <n v="5"/>
    <n v="248"/>
    <n v="25"/>
    <n v="0"/>
    <m/>
    <m/>
    <m/>
    <m/>
    <m/>
    <m/>
    <n v="9"/>
    <n v="1"/>
    <n v="1"/>
    <n v="1"/>
    <n v="0"/>
    <n v="40"/>
    <n v="0"/>
    <n v="3"/>
  </r>
  <r>
    <s v="USMC"/>
    <x v="9"/>
    <s v="A-493-0012"/>
    <n v="3682"/>
    <x v="43"/>
    <d v="2025-04-28T00:00:00"/>
    <d v="2025-05-02T00:00:00"/>
    <d v="1899-12-30T08:00:00"/>
    <m/>
    <m/>
    <m/>
    <m/>
    <m/>
    <m/>
    <s v="R. Hartel"/>
    <m/>
    <m/>
    <n v="40"/>
    <n v="40"/>
    <n v="5"/>
    <n v="0"/>
    <n v="20"/>
    <n v="0"/>
    <m/>
    <m/>
    <m/>
    <m/>
    <m/>
    <m/>
    <n v="9"/>
    <n v="1"/>
    <n v="1"/>
    <n v="1"/>
    <n v="0"/>
    <n v="40"/>
    <n v="20"/>
    <n v="3"/>
  </r>
  <r>
    <m/>
    <x v="4"/>
    <s v="A-493-0550"/>
    <s v="09K5"/>
    <x v="0"/>
    <d v="2025-04-28T00:00:00"/>
    <d v="2025-05-01T00:00:00"/>
    <m/>
    <d v="1899-12-30T11:00:00"/>
    <d v="1899-12-30T08:00:00"/>
    <d v="1899-12-30T18:00:00"/>
    <d v="1899-12-30T16:00:00"/>
    <d v="1899-12-30T05:00:00"/>
    <d v="1899-12-30T00:00:00"/>
    <s v="A. DeCastro"/>
    <m/>
    <m/>
    <n v="45"/>
    <n v="32"/>
    <n v="4"/>
    <m/>
    <n v="45"/>
    <n v="0"/>
    <m/>
    <m/>
    <m/>
    <m/>
    <m/>
    <m/>
    <n v="8"/>
    <n v="1"/>
    <n v="1"/>
    <n v="1"/>
    <n v="0"/>
    <n v="32"/>
    <n v="0"/>
    <n v="3"/>
  </r>
  <r>
    <m/>
    <x v="3"/>
    <s v="A-493-0078"/>
    <n v="1228"/>
    <x v="0"/>
    <d v="2025-04-28T00:00:00"/>
    <d v="2025-05-01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m/>
    <n v="37"/>
    <n v="0"/>
    <m/>
    <m/>
    <m/>
    <m/>
    <m/>
    <m/>
    <n v="8"/>
    <n v="1"/>
    <n v="1"/>
    <n v="1"/>
    <n v="0"/>
    <n v="32"/>
    <n v="8"/>
    <n v="3"/>
  </r>
  <r>
    <m/>
    <x v="14"/>
    <s v="A-493-0335"/>
    <s v="09ND"/>
    <x v="0"/>
    <d v="2025-04-28T00:00:00"/>
    <d v="2025-05-01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m/>
    <n v="27"/>
    <n v="0"/>
    <m/>
    <m/>
    <m/>
    <m/>
    <m/>
    <m/>
    <n v="8"/>
    <n v="1"/>
    <n v="1"/>
    <n v="1"/>
    <n v="0"/>
    <n v="32"/>
    <n v="18"/>
    <n v="3"/>
  </r>
  <r>
    <s v="NAVSUP FLCY"/>
    <x v="24"/>
    <s v="A-493-0013"/>
    <n v="3683"/>
    <x v="44"/>
    <d v="2025-04-28T00:00:00"/>
    <d v="2025-04-30T00:00:00"/>
    <d v="1899-12-30T08:00:00"/>
    <m/>
    <m/>
    <m/>
    <m/>
    <m/>
    <m/>
    <s v="G. Jester"/>
    <m/>
    <m/>
    <n v="40"/>
    <n v="24"/>
    <n v="3"/>
    <n v="30"/>
    <n v="8"/>
    <n v="0"/>
    <m/>
    <m/>
    <m/>
    <m/>
    <m/>
    <m/>
    <n v="7"/>
    <n v="1"/>
    <n v="1"/>
    <n v="1"/>
    <n v="0"/>
    <n v="24"/>
    <n v="32"/>
    <n v="3"/>
  </r>
  <r>
    <m/>
    <x v="27"/>
    <s v="A-493-2300"/>
    <s v="993F"/>
    <x v="36"/>
    <d v="2025-04-28T00:00:00"/>
    <d v="2025-04-29T00:00:00"/>
    <d v="1899-12-30T08:00:00"/>
    <m/>
    <m/>
    <m/>
    <m/>
    <m/>
    <m/>
    <s v="ENV Contractor"/>
    <m/>
    <m/>
    <n v="30"/>
    <n v="16"/>
    <n v="2"/>
    <n v="21"/>
    <n v="30"/>
    <n v="0"/>
    <m/>
    <m/>
    <m/>
    <m/>
    <m/>
    <m/>
    <n v="6"/>
    <n v="1"/>
    <n v="1"/>
    <n v="1"/>
    <n v="0"/>
    <n v="16"/>
    <n v="0"/>
    <n v="3"/>
  </r>
  <r>
    <s v="POC: PWD Kate Sklat"/>
    <x v="12"/>
    <s v="Reserved"/>
    <m/>
    <x v="1"/>
    <d v="2025-04-29T00:00:00"/>
    <d v="2025-04-2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6"/>
    <n v="0"/>
    <n v="1"/>
    <n v="0"/>
    <n v="0"/>
    <e v="#DIV/0!"/>
    <m/>
    <m/>
  </r>
  <r>
    <m/>
    <x v="32"/>
    <s v="A-493-0099"/>
    <s v="12JW"/>
    <x v="0"/>
    <d v="2025-04-29T00:00:00"/>
    <d v="2025-05-01T00:00:00"/>
    <m/>
    <d v="1899-12-30T08:00:00"/>
    <d v="1899-12-30T05:00:00"/>
    <d v="1899-12-30T15:00:00"/>
    <d v="1899-12-30T13:00:00"/>
    <d v="1899-12-30T02:00:00"/>
    <d v="1899-12-30T21:00:00"/>
    <s v="V. Kentish"/>
    <m/>
    <m/>
    <n v="45"/>
    <n v="24"/>
    <n v="3"/>
    <m/>
    <n v="33"/>
    <n v="0"/>
    <m/>
    <m/>
    <m/>
    <m/>
    <m/>
    <m/>
    <n v="8"/>
    <n v="1"/>
    <n v="1"/>
    <n v="1"/>
    <n v="0"/>
    <n v="24"/>
    <n v="12"/>
    <n v="3"/>
  </r>
  <r>
    <m/>
    <x v="13"/>
    <s v="A-493-0331"/>
    <s v="10UG"/>
    <x v="0"/>
    <d v="2025-04-29T00:00:00"/>
    <d v="2025-05-01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m/>
    <n v="45"/>
    <n v="3"/>
    <m/>
    <m/>
    <m/>
    <m/>
    <m/>
    <m/>
    <n v="8"/>
    <n v="1"/>
    <n v="1"/>
    <n v="1"/>
    <n v="0"/>
    <n v="24"/>
    <n v="0"/>
    <n v="3"/>
  </r>
  <r>
    <m/>
    <x v="38"/>
    <s v="A-493-2301"/>
    <s v="05ZD"/>
    <x v="36"/>
    <d v="2025-04-30T00:00:00"/>
    <d v="2025-04-30T00:00:00"/>
    <d v="1899-12-30T08:00:00"/>
    <m/>
    <m/>
    <m/>
    <m/>
    <m/>
    <m/>
    <s v="ENV Contractor"/>
    <m/>
    <m/>
    <n v="30"/>
    <n v="8"/>
    <n v="1"/>
    <n v="20"/>
    <n v="14"/>
    <n v="0"/>
    <m/>
    <m/>
    <m/>
    <m/>
    <m/>
    <m/>
    <n v="7"/>
    <n v="1"/>
    <n v="1"/>
    <n v="1"/>
    <n v="0"/>
    <n v="8"/>
    <n v="16"/>
    <n v="3"/>
  </r>
  <r>
    <s v="POC: PWD Kate Sklat"/>
    <x v="12"/>
    <s v="Reserved"/>
    <m/>
    <x v="1"/>
    <d v="2025-05-01T00:00:00"/>
    <d v="2025-05-0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8"/>
    <n v="0"/>
    <n v="1"/>
    <n v="0"/>
    <n v="0"/>
    <e v="#DIV/0!"/>
    <m/>
    <m/>
  </r>
  <r>
    <s v="NAVSUP FLCY (1-2 &amp; 5 May)"/>
    <x v="24"/>
    <s v="A-493-0013"/>
    <n v="3683"/>
    <x v="45"/>
    <d v="2025-05-01T00:00:00"/>
    <d v="2025-05-05T00:00:00"/>
    <d v="1899-12-30T08:00:00"/>
    <m/>
    <m/>
    <m/>
    <m/>
    <m/>
    <m/>
    <s v="G. Jester"/>
    <m/>
    <m/>
    <n v="40"/>
    <n v="24"/>
    <n v="3"/>
    <n v="30"/>
    <n v="5"/>
    <n v="0"/>
    <m/>
    <m/>
    <m/>
    <m/>
    <m/>
    <m/>
    <n v="12"/>
    <n v="1"/>
    <n v="1"/>
    <n v="1"/>
    <n v="0"/>
    <n v="24"/>
    <n v="35"/>
    <n v="3"/>
  </r>
  <r>
    <m/>
    <x v="29"/>
    <s v="A-493-0216"/>
    <s v="12X8"/>
    <x v="36"/>
    <d v="2025-05-01T00:00:00"/>
    <d v="2025-05-01T00:00:00"/>
    <d v="1899-12-30T08:00:00"/>
    <m/>
    <m/>
    <m/>
    <m/>
    <m/>
    <m/>
    <s v="ENV Contractor"/>
    <m/>
    <m/>
    <n v="30"/>
    <n v="8"/>
    <n v="1"/>
    <n v="33"/>
    <n v="30"/>
    <n v="0"/>
    <m/>
    <m/>
    <m/>
    <m/>
    <m/>
    <m/>
    <n v="8"/>
    <n v="1"/>
    <n v="1"/>
    <n v="1"/>
    <n v="0"/>
    <n v="8"/>
    <n v="0"/>
    <n v="3"/>
  </r>
  <r>
    <m/>
    <x v="22"/>
    <s v="A-493-2501"/>
    <s v="05ZE"/>
    <x v="36"/>
    <d v="2025-05-02T00:00:00"/>
    <d v="2025-05-02T00:00:00"/>
    <d v="1899-12-30T08:00:00"/>
    <m/>
    <m/>
    <m/>
    <m/>
    <m/>
    <m/>
    <s v="ENV Contractor"/>
    <m/>
    <m/>
    <n v="30"/>
    <n v="8"/>
    <n v="1"/>
    <n v="21"/>
    <n v="15"/>
    <n v="0"/>
    <m/>
    <m/>
    <m/>
    <m/>
    <m/>
    <m/>
    <n v="9"/>
    <n v="1"/>
    <n v="1"/>
    <n v="1"/>
    <n v="0"/>
    <n v="8"/>
    <n v="15"/>
    <n v="3"/>
  </r>
  <r>
    <m/>
    <x v="34"/>
    <s v="A-493-0103"/>
    <s v="12JY"/>
    <x v="24"/>
    <d v="2025-05-05T00:00:00"/>
    <d v="2025-05-09T00:00:00"/>
    <d v="1899-12-30T08:00:00"/>
    <m/>
    <m/>
    <m/>
    <m/>
    <m/>
    <m/>
    <s v="SOH Contractor"/>
    <m/>
    <m/>
    <n v="25"/>
    <n v="40"/>
    <n v="5"/>
    <n v="48"/>
    <n v="11"/>
    <n v="0"/>
    <m/>
    <m/>
    <m/>
    <m/>
    <m/>
    <m/>
    <n v="16"/>
    <n v="1"/>
    <n v="1"/>
    <n v="1"/>
    <n v="0"/>
    <n v="40"/>
    <n v="14"/>
    <n v="3"/>
  </r>
  <r>
    <m/>
    <x v="20"/>
    <s v="A-493-0061"/>
    <s v="288E"/>
    <x v="0"/>
    <d v="2025-05-05T00:00:00"/>
    <d v="2025-05-08T00:00:00"/>
    <m/>
    <d v="1899-12-30T10:00:00"/>
    <d v="1899-12-30T07:00:00"/>
    <d v="1899-12-30T17:00:00"/>
    <d v="1899-12-30T16:00:00"/>
    <d v="1899-12-30T04:00:00"/>
    <d v="1899-12-30T23:00:00"/>
    <s v="S. Griffin"/>
    <m/>
    <m/>
    <n v="45"/>
    <n v="30"/>
    <n v="4"/>
    <m/>
    <n v="36"/>
    <n v="0"/>
    <m/>
    <m/>
    <m/>
    <m/>
    <m/>
    <m/>
    <n v="15"/>
    <n v="1"/>
    <n v="1"/>
    <n v="1"/>
    <n v="0"/>
    <n v="30"/>
    <n v="9"/>
    <n v="3"/>
  </r>
  <r>
    <m/>
    <x v="3"/>
    <s v="A-493-0078"/>
    <n v="1228"/>
    <x v="0"/>
    <d v="2025-05-05T00:00:00"/>
    <d v="2025-05-08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m/>
    <n v="17"/>
    <n v="0"/>
    <m/>
    <m/>
    <m/>
    <m/>
    <m/>
    <m/>
    <n v="15"/>
    <n v="1"/>
    <n v="1"/>
    <n v="1"/>
    <n v="0"/>
    <n v="32"/>
    <n v="28"/>
    <n v="3"/>
  </r>
  <r>
    <m/>
    <x v="19"/>
    <s v="A-493-0030"/>
    <s v="286X"/>
    <x v="0"/>
    <d v="2025-05-05T00:00:00"/>
    <d v="2025-05-09T00:00:00"/>
    <m/>
    <d v="1899-12-30T08:00:00"/>
    <d v="1899-12-30T05:00:00"/>
    <d v="1899-12-30T15:00:00"/>
    <d v="1899-12-30T13:00:00"/>
    <d v="1899-12-30T02:00:00"/>
    <d v="1899-12-30T21:00:00"/>
    <s v="OH Contractor"/>
    <m/>
    <m/>
    <n v="25"/>
    <n v="40"/>
    <n v="5"/>
    <n v="0"/>
    <n v="25"/>
    <n v="5"/>
    <m/>
    <m/>
    <m/>
    <m/>
    <m/>
    <m/>
    <n v="16"/>
    <n v="1"/>
    <n v="1"/>
    <n v="1"/>
    <n v="0"/>
    <n v="40"/>
    <n v="0"/>
    <n v="3"/>
  </r>
  <r>
    <m/>
    <x v="0"/>
    <s v="A-322-2604"/>
    <s v="10ZZ"/>
    <x v="0"/>
    <d v="2025-05-05T00:00:00"/>
    <d v="2025-05-07T00:00:00"/>
    <m/>
    <d v="1899-12-30T08:00:00"/>
    <d v="1899-12-30T05:00:00"/>
    <d v="1899-12-30T15:00:00"/>
    <d v="1899-12-30T13:00:00"/>
    <d v="1899-12-30T02:00:00"/>
    <d v="1899-12-30T21:00:00"/>
    <s v="LS1 Scoggins"/>
    <m/>
    <m/>
    <n v="45"/>
    <n v="24"/>
    <n v="3"/>
    <m/>
    <n v="45"/>
    <n v="4"/>
    <m/>
    <m/>
    <m/>
    <m/>
    <m/>
    <m/>
    <n v="14"/>
    <n v="1"/>
    <n v="1"/>
    <n v="1"/>
    <n v="0"/>
    <n v="24"/>
    <n v="0"/>
    <n v="3"/>
  </r>
  <r>
    <m/>
    <x v="28"/>
    <s v="A-493-0092"/>
    <n v="5891"/>
    <x v="1"/>
    <d v="2025-05-05T00:00:00"/>
    <d v="2025-05-07T00:00:00"/>
    <d v="1899-12-30T08:00:00"/>
    <m/>
    <m/>
    <m/>
    <m/>
    <m/>
    <m/>
    <s v="W. Mitchell"/>
    <s v="LTJG Bozenski"/>
    <m/>
    <n v="25"/>
    <n v="24"/>
    <n v="3"/>
    <m/>
    <n v="7"/>
    <n v="0"/>
    <m/>
    <m/>
    <m/>
    <m/>
    <m/>
    <m/>
    <n v="14"/>
    <n v="1"/>
    <n v="1"/>
    <n v="1"/>
    <n v="1"/>
    <n v="12"/>
    <n v="18"/>
    <n v="3"/>
  </r>
  <r>
    <m/>
    <x v="6"/>
    <s v="A-493-0085"/>
    <n v="3555"/>
    <x v="0"/>
    <d v="2025-05-05T00:00:00"/>
    <d v="2025-05-08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m/>
    <n v="17"/>
    <n v="0"/>
    <m/>
    <m/>
    <m/>
    <m/>
    <m/>
    <m/>
    <n v="15"/>
    <n v="1"/>
    <n v="1"/>
    <n v="1"/>
    <n v="0"/>
    <n v="32"/>
    <n v="28"/>
    <n v="3"/>
  </r>
  <r>
    <m/>
    <x v="36"/>
    <s v="A-493-0077"/>
    <s v="0381"/>
    <x v="28"/>
    <d v="2025-05-05T00:00:00"/>
    <d v="2025-05-07T00:00:00"/>
    <d v="1899-12-30T08:00:00"/>
    <m/>
    <m/>
    <m/>
    <m/>
    <m/>
    <m/>
    <s v="ENV Contractor"/>
    <m/>
    <m/>
    <n v="25"/>
    <n v="24"/>
    <n v="3"/>
    <n v="14"/>
    <n v="12"/>
    <m/>
    <m/>
    <m/>
    <m/>
    <m/>
    <m/>
    <m/>
    <n v="14"/>
    <n v="1"/>
    <n v="1"/>
    <n v="1"/>
    <n v="0"/>
    <n v="24"/>
    <n v="13"/>
    <n v="3"/>
  </r>
  <r>
    <m/>
    <x v="1"/>
    <s v="A-570-0100"/>
    <s v="18B7"/>
    <x v="0"/>
    <d v="2025-05-05T00:00:00"/>
    <d v="2025-05-06T00:00:00"/>
    <m/>
    <d v="1899-12-30T19:00:00"/>
    <d v="1899-12-30T16:00:00"/>
    <d v="1899-12-30T02:00:00"/>
    <d v="1899-12-30T00:00:00"/>
    <d v="1899-12-30T13:00:00"/>
    <d v="1899-12-30T08:00:00"/>
    <s v="BMC Sosaya"/>
    <m/>
    <m/>
    <n v="45"/>
    <n v="16"/>
    <n v="2"/>
    <m/>
    <n v="24"/>
    <n v="0"/>
    <m/>
    <m/>
    <m/>
    <m/>
    <m/>
    <m/>
    <n v="13"/>
    <n v="1"/>
    <n v="1"/>
    <n v="1"/>
    <n v="0"/>
    <n v="16"/>
    <n v="21"/>
    <n v="3"/>
  </r>
  <r>
    <m/>
    <x v="2"/>
    <s v="A-493-2098"/>
    <s v="09WW"/>
    <x v="0"/>
    <d v="2025-05-05T00:00:00"/>
    <d v="2025-05-07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m/>
    <n v="100"/>
    <n v="0"/>
    <m/>
    <m/>
    <m/>
    <m/>
    <m/>
    <m/>
    <n v="14"/>
    <n v="1"/>
    <n v="1"/>
    <n v="1"/>
    <n v="0"/>
    <n v="16"/>
    <n v="0"/>
    <n v="3"/>
  </r>
  <r>
    <s v="USMC Special Convening"/>
    <x v="39"/>
    <s v="A-493-2017"/>
    <s v="12x3"/>
    <x v="32"/>
    <d v="2025-05-05T00:00:00"/>
    <d v="2025-05-09T00:00:00"/>
    <d v="1899-12-30T08:00:00"/>
    <m/>
    <m/>
    <m/>
    <m/>
    <m/>
    <m/>
    <s v="ENV Contractor"/>
    <m/>
    <m/>
    <n v="25"/>
    <n v="40"/>
    <n v="5"/>
    <n v="12"/>
    <n v="24"/>
    <n v="0"/>
    <m/>
    <m/>
    <m/>
    <m/>
    <m/>
    <m/>
    <n v="16"/>
    <n v="1"/>
    <n v="1"/>
    <n v="1"/>
    <n v="0"/>
    <n v="40"/>
    <n v="1"/>
    <n v="3"/>
  </r>
  <r>
    <s v="Norfolk Naval Shipyard (NCRMA)"/>
    <x v="24"/>
    <s v="A-493-0013"/>
    <n v="3683"/>
    <x v="46"/>
    <d v="2025-05-06T00:00:00"/>
    <d v="2025-05-08T00:00:00"/>
    <d v="1899-12-30T08:00:00"/>
    <m/>
    <m/>
    <m/>
    <m/>
    <m/>
    <m/>
    <s v="W. Bailey"/>
    <m/>
    <m/>
    <n v="40"/>
    <n v="24"/>
    <n v="3"/>
    <n v="0"/>
    <n v="7"/>
    <n v="0"/>
    <m/>
    <m/>
    <m/>
    <m/>
    <m/>
    <m/>
    <n v="15"/>
    <n v="1"/>
    <n v="1"/>
    <n v="1"/>
    <n v="0"/>
    <n v="24"/>
    <n v="33"/>
    <n v="3"/>
  </r>
  <r>
    <m/>
    <x v="24"/>
    <s v="A-493-0013"/>
    <n v="3683"/>
    <x v="27"/>
    <d v="2025-05-06T00:00:00"/>
    <d v="2025-05-08T00:00:00"/>
    <d v="1899-12-30T08:00:00"/>
    <m/>
    <m/>
    <m/>
    <m/>
    <m/>
    <m/>
    <m/>
    <m/>
    <m/>
    <n v="40"/>
    <n v="24"/>
    <m/>
    <n v="30"/>
    <m/>
    <m/>
    <m/>
    <m/>
    <m/>
    <m/>
    <m/>
    <m/>
    <n v="15"/>
    <n v="1"/>
    <n v="1"/>
    <n v="0"/>
    <n v="0"/>
    <e v="#DIV/0!"/>
    <n v="28"/>
    <m/>
  </r>
  <r>
    <m/>
    <x v="21"/>
    <s v="A-493-0083"/>
    <s v="339E"/>
    <x v="28"/>
    <d v="2025-05-08T00:00:00"/>
    <d v="2025-05-08T00:00:00"/>
    <d v="1899-12-30T08:00:00"/>
    <m/>
    <m/>
    <m/>
    <m/>
    <m/>
    <m/>
    <s v="ENV Contractor"/>
    <m/>
    <m/>
    <n v="30"/>
    <n v="8"/>
    <n v="1"/>
    <n v="20"/>
    <n v="30"/>
    <n v="0"/>
    <m/>
    <m/>
    <m/>
    <m/>
    <m/>
    <m/>
    <n v="15"/>
    <n v="1"/>
    <n v="1"/>
    <n v="1"/>
    <n v="0"/>
    <n v="8"/>
    <n v="0"/>
    <n v="3"/>
  </r>
  <r>
    <s v="Seabees Gulfport special convening "/>
    <x v="41"/>
    <s v="A-493-0021"/>
    <s v="18BN"/>
    <x v="12"/>
    <d v="2025-05-12T00:00:00"/>
    <d v="2025-05-16T00:00:00"/>
    <d v="1899-12-30T08:00:00"/>
    <m/>
    <m/>
    <m/>
    <m/>
    <m/>
    <m/>
    <s v="SOH Contractor"/>
    <m/>
    <m/>
    <n v="35"/>
    <n v="30"/>
    <n v="5"/>
    <n v="11"/>
    <n v="0"/>
    <n v="0"/>
    <m/>
    <m/>
    <m/>
    <m/>
    <m/>
    <m/>
    <n v="23"/>
    <n v="1"/>
    <n v="1"/>
    <n v="1"/>
    <n v="0"/>
    <n v="30"/>
    <n v="35"/>
    <n v="3"/>
  </r>
  <r>
    <m/>
    <x v="16"/>
    <s v="A-493-0072"/>
    <s v="713U"/>
    <x v="27"/>
    <d v="2025-05-12T00:00:00"/>
    <d v="2025-05-16T00:00:00"/>
    <d v="1899-12-30T08:00:00"/>
    <m/>
    <m/>
    <m/>
    <m/>
    <m/>
    <m/>
    <s v="A. Harris"/>
    <s v="K. Seo"/>
    <m/>
    <n v="30"/>
    <n v="40"/>
    <n v="5"/>
    <m/>
    <n v="22"/>
    <n v="0"/>
    <m/>
    <m/>
    <m/>
    <m/>
    <m/>
    <m/>
    <n v="23"/>
    <n v="1"/>
    <n v="1"/>
    <n v="1"/>
    <n v="1"/>
    <n v="20"/>
    <n v="8"/>
    <n v="3"/>
  </r>
  <r>
    <m/>
    <x v="31"/>
    <s v="F-4J-0023"/>
    <s v="11A2"/>
    <x v="0"/>
    <d v="2025-05-12T00:00:00"/>
    <d v="2025-05-13T00:00:00"/>
    <m/>
    <d v="1899-12-30T12:00:00"/>
    <d v="1899-12-30T09:00:00"/>
    <d v="1899-12-30T19:00:00"/>
    <d v="1899-12-30T18:00:00"/>
    <d v="1899-12-30T06:00:00"/>
    <d v="1899-12-30T01:00:00"/>
    <s v="EMC Stroughn"/>
    <m/>
    <m/>
    <n v="45"/>
    <n v="16"/>
    <n v="2"/>
    <m/>
    <n v="17"/>
    <n v="0"/>
    <m/>
    <m/>
    <m/>
    <m/>
    <m/>
    <m/>
    <n v="20"/>
    <n v="1"/>
    <n v="1"/>
    <n v="1"/>
    <n v="0"/>
    <n v="16"/>
    <n v="28"/>
    <n v="3"/>
  </r>
  <r>
    <s v="NAVSUP FLCY"/>
    <x v="24"/>
    <s v="A-493-0013"/>
    <n v="3683"/>
    <x v="47"/>
    <d v="2025-05-12T00:00:00"/>
    <d v="2025-05-14T00:00:00"/>
    <d v="1899-12-30T08:00:00"/>
    <m/>
    <m/>
    <m/>
    <m/>
    <m/>
    <m/>
    <s v="G. Jester"/>
    <m/>
    <m/>
    <n v="40"/>
    <n v="24"/>
    <n v="3"/>
    <n v="10"/>
    <n v="23"/>
    <n v="0"/>
    <m/>
    <m/>
    <m/>
    <m/>
    <m/>
    <m/>
    <n v="21"/>
    <n v="1"/>
    <n v="1"/>
    <n v="1"/>
    <n v="0"/>
    <n v="24"/>
    <n v="17"/>
    <n v="3"/>
  </r>
  <r>
    <m/>
    <x v="36"/>
    <s v="A-493-0077"/>
    <s v="0381"/>
    <x v="1"/>
    <d v="2025-05-12T00:00:00"/>
    <d v="2025-05-14T00:00:00"/>
    <d v="1899-12-30T08:00:00"/>
    <m/>
    <m/>
    <m/>
    <m/>
    <m/>
    <m/>
    <s v="ENV Contractor"/>
    <m/>
    <m/>
    <n v="25"/>
    <n v="24"/>
    <n v="3"/>
    <n v="139"/>
    <n v="18"/>
    <m/>
    <m/>
    <m/>
    <m/>
    <m/>
    <m/>
    <m/>
    <n v="21"/>
    <n v="1"/>
    <n v="1"/>
    <n v="1"/>
    <n v="0"/>
    <n v="24"/>
    <n v="7"/>
    <n v="3"/>
  </r>
  <r>
    <m/>
    <x v="26"/>
    <s v="A-4J-0022"/>
    <s v="09ER"/>
    <x v="0"/>
    <d v="2025-05-13T00:00:00"/>
    <d v="2025-05-14T00:00:00"/>
    <m/>
    <d v="1899-12-30T12:00:00"/>
    <d v="1899-12-30T09:00:00"/>
    <d v="1899-12-30T19:00:00"/>
    <d v="1899-12-30T18:00:00"/>
    <d v="1899-12-30T06:00:00"/>
    <d v="1899-12-30T01:00:00"/>
    <s v="BMC Sosaya"/>
    <s v="A.Hardy"/>
    <m/>
    <n v="45"/>
    <n v="16"/>
    <n v="2"/>
    <m/>
    <n v="45"/>
    <n v="0"/>
    <m/>
    <m/>
    <m/>
    <m/>
    <m/>
    <m/>
    <n v="21"/>
    <n v="1"/>
    <n v="1"/>
    <n v="1"/>
    <n v="1"/>
    <n v="8"/>
    <n v="0"/>
    <n v="3"/>
  </r>
  <r>
    <m/>
    <x v="32"/>
    <s v="A-493-0099"/>
    <s v="12JW"/>
    <x v="0"/>
    <d v="2025-05-13T00:00:00"/>
    <d v="2025-05-15T00:00:00"/>
    <m/>
    <d v="1899-12-30T11:00:00"/>
    <d v="1899-12-30T08:00:00"/>
    <d v="1899-12-30T18:00:00"/>
    <d v="1899-12-30T16:00:00"/>
    <d v="1899-12-30T05:00:00"/>
    <d v="1899-12-30T00:00:00"/>
    <s v="V. Kentish"/>
    <m/>
    <m/>
    <n v="45"/>
    <n v="24"/>
    <n v="3"/>
    <m/>
    <n v="14"/>
    <n v="0"/>
    <m/>
    <m/>
    <m/>
    <m/>
    <m/>
    <m/>
    <n v="22"/>
    <n v="1"/>
    <n v="1"/>
    <n v="1"/>
    <n v="0"/>
    <n v="24"/>
    <n v="31"/>
    <n v="3"/>
  </r>
  <r>
    <m/>
    <x v="33"/>
    <s v="A-493-0075 "/>
    <s v="714U"/>
    <x v="22"/>
    <d v="2025-05-13T00:00:00"/>
    <d v="2025-05-16T00:00:00"/>
    <d v="1899-12-30T08:00:00"/>
    <m/>
    <m/>
    <m/>
    <m/>
    <m/>
    <m/>
    <s v="SOH Contractor"/>
    <m/>
    <m/>
    <n v="30"/>
    <n v="32"/>
    <n v="4"/>
    <n v="36"/>
    <n v="7"/>
    <n v="0"/>
    <m/>
    <m/>
    <m/>
    <m/>
    <m/>
    <m/>
    <n v="23"/>
    <n v="1"/>
    <n v="1"/>
    <n v="1"/>
    <n v="0"/>
    <n v="32"/>
    <n v="23"/>
    <n v="3"/>
  </r>
  <r>
    <m/>
    <x v="13"/>
    <s v="A-493-0331"/>
    <s v="10UG"/>
    <x v="0"/>
    <d v="2025-05-13T00:00:00"/>
    <d v="2025-05-15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m/>
    <n v="45"/>
    <n v="5"/>
    <m/>
    <m/>
    <m/>
    <m/>
    <m/>
    <m/>
    <n v="22"/>
    <n v="1"/>
    <n v="1"/>
    <n v="1"/>
    <n v="0"/>
    <n v="24"/>
    <n v="0"/>
    <n v="3"/>
  </r>
  <r>
    <m/>
    <x v="21"/>
    <s v="A-493-0083"/>
    <s v="339E"/>
    <x v="1"/>
    <d v="2025-05-15T00:00:00"/>
    <d v="2025-05-15T00:00:00"/>
    <d v="1899-12-30T08:00:00"/>
    <m/>
    <m/>
    <m/>
    <m/>
    <m/>
    <m/>
    <s v="ENV Contractor"/>
    <m/>
    <m/>
    <n v="30"/>
    <n v="8"/>
    <n v="1"/>
    <n v="143"/>
    <n v="17"/>
    <n v="0"/>
    <m/>
    <m/>
    <m/>
    <m/>
    <m/>
    <m/>
    <n v="22"/>
    <n v="1"/>
    <n v="1"/>
    <n v="1"/>
    <n v="0"/>
    <n v="8"/>
    <n v="13"/>
    <n v="3"/>
  </r>
  <r>
    <m/>
    <x v="0"/>
    <s v="A-322-2604"/>
    <s v="10ZZ"/>
    <x v="0"/>
    <d v="2025-05-18T00:00:00"/>
    <d v="2025-05-20T00:00:00"/>
    <m/>
    <d v="1899-12-30T19:00:00"/>
    <d v="1899-12-30T16:00:00"/>
    <d v="1899-12-30T02:00:00"/>
    <d v="1899-12-30T00:00:00"/>
    <d v="1899-12-30T13:00:00"/>
    <d v="1899-12-30T08:00:00"/>
    <s v="LS1 Scoggins"/>
    <m/>
    <m/>
    <n v="45"/>
    <n v="24"/>
    <n v="3"/>
    <m/>
    <n v="25"/>
    <n v="0"/>
    <m/>
    <m/>
    <m/>
    <m/>
    <m/>
    <m/>
    <n v="27"/>
    <n v="1"/>
    <n v="1"/>
    <n v="1"/>
    <n v="0"/>
    <n v="24"/>
    <n v="20"/>
    <n v="3"/>
  </r>
  <r>
    <m/>
    <x v="30"/>
    <s v="A-493-0665"/>
    <s v="10KW"/>
    <x v="0"/>
    <d v="2025-05-19T00:00:00"/>
    <d v="2025-05-21T00:00:00"/>
    <m/>
    <d v="1899-12-30T08:00:00"/>
    <d v="1899-12-30T05:00:00"/>
    <d v="1899-12-30T15:00:00"/>
    <d v="1899-12-30T13:00:00"/>
    <d v="1899-12-30T02:00:00"/>
    <d v="1899-12-30T21:00:00"/>
    <s v="LSC Kitivi"/>
    <m/>
    <m/>
    <n v="45"/>
    <n v="24"/>
    <n v="3"/>
    <m/>
    <n v="19"/>
    <n v="0"/>
    <m/>
    <m/>
    <m/>
    <m/>
    <m/>
    <m/>
    <n v="28"/>
    <n v="1"/>
    <n v="1"/>
    <n v="1"/>
    <n v="0"/>
    <n v="24"/>
    <n v="26"/>
    <n v="3"/>
  </r>
  <r>
    <m/>
    <x v="9"/>
    <s v="A-493-0012"/>
    <n v="3682"/>
    <x v="20"/>
    <d v="2025-05-19T00:00:00"/>
    <d v="2025-05-23T00:00:00"/>
    <d v="1899-12-30T08:00:00"/>
    <m/>
    <m/>
    <m/>
    <m/>
    <m/>
    <m/>
    <s v="R. Hartel"/>
    <m/>
    <m/>
    <n v="40"/>
    <n v="40"/>
    <n v="5"/>
    <n v="30"/>
    <n v="11"/>
    <n v="0"/>
    <m/>
    <m/>
    <m/>
    <m/>
    <m/>
    <m/>
    <n v="30"/>
    <n v="1"/>
    <n v="1"/>
    <n v="1"/>
    <n v="0"/>
    <n v="40"/>
    <n v="29"/>
    <n v="3"/>
  </r>
  <r>
    <m/>
    <x v="20"/>
    <s v="A-493-0061"/>
    <s v="288E"/>
    <x v="0"/>
    <d v="2025-05-19T00:00:00"/>
    <d v="2025-05-22T00:00:00"/>
    <m/>
    <d v="1899-12-30T12:00:00"/>
    <d v="1899-12-30T09:00:00"/>
    <d v="1899-12-30T19:00:00"/>
    <d v="1899-12-30T18:00:00"/>
    <d v="1899-12-30T06:00:00"/>
    <d v="1899-12-30T01:00:00"/>
    <s v="S. Griffin"/>
    <m/>
    <m/>
    <n v="45"/>
    <n v="30"/>
    <n v="4"/>
    <m/>
    <n v="10"/>
    <n v="0"/>
    <m/>
    <m/>
    <m/>
    <m/>
    <m/>
    <m/>
    <n v="29"/>
    <n v="1"/>
    <n v="1"/>
    <n v="1"/>
    <n v="0"/>
    <n v="30"/>
    <n v="35"/>
    <n v="3"/>
  </r>
  <r>
    <s v="Seabees Gulfport special conveing"/>
    <x v="4"/>
    <s v="A-493-0550"/>
    <s v="09K5"/>
    <x v="0"/>
    <d v="2025-05-19T00:00:00"/>
    <d v="2025-05-22T00:00:00"/>
    <m/>
    <d v="1899-12-30T08:00:00"/>
    <d v="1899-12-30T05:00:00"/>
    <d v="1899-12-30T15:00:00"/>
    <d v="1899-12-30T13:00:00"/>
    <d v="1899-12-30T02:00:00"/>
    <d v="1899-12-30T21:00:00"/>
    <s v="A. DeCastro"/>
    <m/>
    <m/>
    <n v="45"/>
    <n v="32"/>
    <n v="4"/>
    <m/>
    <n v="45"/>
    <n v="0"/>
    <m/>
    <m/>
    <m/>
    <m/>
    <m/>
    <m/>
    <n v="29"/>
    <n v="1"/>
    <n v="1"/>
    <n v="1"/>
    <n v="0"/>
    <n v="32"/>
    <m/>
    <n v="3"/>
  </r>
  <r>
    <m/>
    <x v="5"/>
    <s v="A-493-0073"/>
    <s v="714S"/>
    <x v="0"/>
    <d v="2025-05-19T00:00:00"/>
    <d v="2025-05-22T00:00:00"/>
    <m/>
    <d v="1899-12-30T08:00:00"/>
    <d v="1899-12-30T05:00:00"/>
    <d v="1899-12-30T15:00:00"/>
    <d v="1899-12-30T13:00:00"/>
    <d v="1899-12-30T02:00:00"/>
    <d v="1899-12-30T21:00:00"/>
    <s v="SOH Contractor"/>
    <m/>
    <m/>
    <n v="30"/>
    <n v="32"/>
    <n v="4"/>
    <n v="284"/>
    <n v="25"/>
    <n v="0"/>
    <m/>
    <m/>
    <m/>
    <m/>
    <m/>
    <m/>
    <n v="29"/>
    <n v="1"/>
    <n v="1"/>
    <n v="1"/>
    <n v="0"/>
    <n v="32"/>
    <n v="5"/>
    <n v="3"/>
  </r>
  <r>
    <m/>
    <x v="3"/>
    <s v="A-493-0078"/>
    <n v="1228"/>
    <x v="0"/>
    <d v="2025-05-19T00:00:00"/>
    <d v="2025-05-22T00:00:00"/>
    <m/>
    <d v="1899-12-30T12:00:00"/>
    <d v="1899-12-30T09:00:00"/>
    <d v="1899-12-30T19:00:00"/>
    <d v="1899-12-30T18:00:00"/>
    <d v="1899-12-30T06:00:00"/>
    <d v="1899-12-30T01:00:00"/>
    <s v="T. White"/>
    <m/>
    <m/>
    <n v="45"/>
    <n v="32"/>
    <n v="4"/>
    <m/>
    <n v="23"/>
    <n v="0"/>
    <m/>
    <m/>
    <m/>
    <m/>
    <m/>
    <m/>
    <n v="29"/>
    <n v="1"/>
    <n v="1"/>
    <n v="1"/>
    <n v="0"/>
    <n v="32"/>
    <n v="22"/>
    <n v="3"/>
  </r>
  <r>
    <m/>
    <x v="14"/>
    <s v="A-493-0335"/>
    <s v="09ND"/>
    <x v="0"/>
    <d v="2025-05-19T00:00:00"/>
    <d v="2025-05-22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m/>
    <n v="12"/>
    <n v="0"/>
    <m/>
    <m/>
    <m/>
    <m/>
    <m/>
    <m/>
    <n v="29"/>
    <n v="1"/>
    <n v="1"/>
    <n v="1"/>
    <n v="0"/>
    <n v="32"/>
    <n v="33"/>
    <n v="3"/>
  </r>
  <r>
    <m/>
    <x v="16"/>
    <s v="A-493-0072"/>
    <s v="713U"/>
    <x v="48"/>
    <d v="2025-05-19T00:00:00"/>
    <d v="2025-05-23T00:00:00"/>
    <d v="1899-12-30T08:00:00"/>
    <m/>
    <m/>
    <m/>
    <m/>
    <m/>
    <m/>
    <s v="A. Harris"/>
    <s v="K. Seo"/>
    <m/>
    <n v="30"/>
    <n v="40"/>
    <n v="5"/>
    <m/>
    <n v="21"/>
    <n v="0"/>
    <m/>
    <m/>
    <m/>
    <m/>
    <m/>
    <m/>
    <n v="30"/>
    <n v="1"/>
    <n v="1"/>
    <n v="1"/>
    <n v="1"/>
    <n v="20"/>
    <n v="9"/>
    <n v="3"/>
  </r>
  <r>
    <m/>
    <x v="1"/>
    <s v="A-570-0100"/>
    <s v="18B7"/>
    <x v="0"/>
    <d v="2025-05-19T00:00:00"/>
    <d v="2025-05-20T00:00:00"/>
    <m/>
    <d v="1899-12-30T08:00:00"/>
    <d v="1899-12-30T05:00:00"/>
    <d v="1899-12-30T15:00:00"/>
    <d v="1899-12-30T13:00:00"/>
    <d v="1899-12-30T02:00:00"/>
    <d v="1899-12-30T21:00:00"/>
    <s v="LS1 Scoggins"/>
    <m/>
    <m/>
    <n v="45"/>
    <n v="16"/>
    <n v="2"/>
    <m/>
    <n v="21"/>
    <n v="0"/>
    <m/>
    <m/>
    <m/>
    <m/>
    <m/>
    <m/>
    <n v="27"/>
    <n v="1"/>
    <n v="1"/>
    <n v="1"/>
    <n v="0"/>
    <n v="16"/>
    <n v="24"/>
    <n v="3"/>
  </r>
  <r>
    <s v="Memorial Day"/>
    <x v="10"/>
    <s v="Holiday"/>
    <s v="Holiday"/>
    <x v="3"/>
    <d v="2025-05-26T00:00:00"/>
    <d v="2025-05-26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33"/>
    <n v="0"/>
    <n v="1"/>
    <n v="0"/>
    <n v="0"/>
    <e v="#DIV/0!"/>
    <m/>
    <m/>
  </r>
  <r>
    <m/>
    <x v="32"/>
    <s v="A-493-0099"/>
    <s v="12JW"/>
    <x v="0"/>
    <d v="2025-05-27T00:00:00"/>
    <d v="2025-05-29T00:00:00"/>
    <m/>
    <d v="1899-12-30T12:00:00"/>
    <d v="1899-12-30T09:00:00"/>
    <d v="1899-12-30T19:00:00"/>
    <d v="1899-12-30T18:00:00"/>
    <d v="1899-12-30T06:00:00"/>
    <d v="1899-12-30T01:00:00"/>
    <s v="V. Kentish"/>
    <m/>
    <m/>
    <n v="45"/>
    <n v="24"/>
    <n v="3"/>
    <m/>
    <n v="12"/>
    <n v="0"/>
    <m/>
    <m/>
    <m/>
    <m/>
    <m/>
    <m/>
    <n v="36"/>
    <n v="1"/>
    <n v="1"/>
    <n v="1"/>
    <n v="0"/>
    <n v="24"/>
    <n v="33"/>
    <n v="3"/>
  </r>
  <r>
    <m/>
    <x v="4"/>
    <s v="A-493-0550"/>
    <s v="09K5"/>
    <x v="0"/>
    <d v="2025-05-27T00:00:00"/>
    <d v="2025-05-30T00:00:00"/>
    <m/>
    <d v="1899-12-30T12:00:00"/>
    <d v="1899-12-30T09:00:00"/>
    <d v="1899-12-30T19:00:00"/>
    <d v="1899-12-30T18:00:00"/>
    <d v="1899-12-30T06:00:00"/>
    <d v="1899-12-30T01:00:00"/>
    <s v="A. DeCastro"/>
    <m/>
    <m/>
    <n v="45"/>
    <n v="32"/>
    <n v="4"/>
    <m/>
    <n v="45"/>
    <n v="0"/>
    <m/>
    <m/>
    <m/>
    <m/>
    <m/>
    <m/>
    <n v="37"/>
    <n v="1"/>
    <n v="1"/>
    <n v="1"/>
    <n v="0"/>
    <n v="32"/>
    <n v="0"/>
    <n v="3"/>
  </r>
  <r>
    <m/>
    <x v="13"/>
    <s v="A-493-0331"/>
    <s v="10UG"/>
    <x v="0"/>
    <d v="2025-05-27T00:00:00"/>
    <d v="2025-05-29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m/>
    <n v="45"/>
    <n v="5"/>
    <m/>
    <m/>
    <m/>
    <m/>
    <m/>
    <m/>
    <n v="36"/>
    <n v="1"/>
    <n v="1"/>
    <n v="1"/>
    <n v="0"/>
    <n v="24"/>
    <n v="0"/>
    <n v="3"/>
  </r>
  <r>
    <m/>
    <x v="6"/>
    <s v="A-493-0085"/>
    <n v="3555"/>
    <x v="0"/>
    <d v="2025-05-27T00:00:00"/>
    <d v="2025-05-30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m/>
    <n v="14"/>
    <n v="0"/>
    <m/>
    <m/>
    <m/>
    <m/>
    <m/>
    <m/>
    <n v="37"/>
    <n v="1"/>
    <n v="1"/>
    <n v="1"/>
    <n v="0"/>
    <n v="32"/>
    <n v="31"/>
    <n v="3"/>
  </r>
  <r>
    <m/>
    <x v="34"/>
    <s v="A-493-0103"/>
    <s v="12JY"/>
    <x v="49"/>
    <d v="2025-06-02T00:00:00"/>
    <d v="2025-06-06T00:00:00"/>
    <d v="1899-12-30T08:00:00"/>
    <m/>
    <m/>
    <m/>
    <m/>
    <m/>
    <m/>
    <s v="SOH Contractor"/>
    <m/>
    <m/>
    <n v="25"/>
    <n v="40"/>
    <n v="5"/>
    <n v="19"/>
    <n v="24"/>
    <n v="0"/>
    <m/>
    <m/>
    <m/>
    <m/>
    <m/>
    <m/>
    <n v="44"/>
    <n v="1"/>
    <n v="1"/>
    <n v="1"/>
    <n v="0"/>
    <n v="40"/>
    <n v="1"/>
    <n v="3"/>
  </r>
  <r>
    <m/>
    <x v="41"/>
    <s v="A-493-0021"/>
    <s v="18BN"/>
    <x v="15"/>
    <d v="2025-06-02T00:00:00"/>
    <d v="2025-06-06T00:00:00"/>
    <d v="1899-12-30T08:00:00"/>
    <m/>
    <m/>
    <m/>
    <m/>
    <m/>
    <m/>
    <s v="SOH Contractor"/>
    <m/>
    <m/>
    <n v="35"/>
    <n v="30"/>
    <n v="5"/>
    <n v="58"/>
    <n v="17"/>
    <n v="0"/>
    <m/>
    <m/>
    <m/>
    <m/>
    <m/>
    <m/>
    <n v="44"/>
    <n v="1"/>
    <n v="1"/>
    <n v="1"/>
    <n v="0"/>
    <n v="30"/>
    <n v="18"/>
    <n v="3"/>
  </r>
  <r>
    <m/>
    <x v="14"/>
    <s v="A-493-0335"/>
    <s v="09ND"/>
    <x v="0"/>
    <d v="2025-06-02T00:00:00"/>
    <d v="2025-06-05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m/>
    <n v="7"/>
    <n v="0"/>
    <m/>
    <m/>
    <m/>
    <m/>
    <m/>
    <m/>
    <n v="43"/>
    <n v="1"/>
    <n v="1"/>
    <n v="1"/>
    <n v="0"/>
    <n v="32"/>
    <n v="38"/>
    <n v="3"/>
  </r>
  <r>
    <m/>
    <x v="4"/>
    <s v="A-493-0550"/>
    <s v="09K5"/>
    <x v="0"/>
    <d v="2025-06-02T00:00:00"/>
    <d v="2025-06-05T00:00:00"/>
    <m/>
    <d v="1899-12-30T07:00:00"/>
    <d v="1899-12-30T04:00:00"/>
    <d v="1899-12-30T14:00:00"/>
    <d v="1899-12-30T12:00:00"/>
    <d v="1899-12-30T01:00:00"/>
    <d v="1899-12-30T20:00:00"/>
    <s v="A. DeCastro"/>
    <m/>
    <m/>
    <n v="45"/>
    <n v="32"/>
    <n v="4"/>
    <m/>
    <n v="36"/>
    <n v="0"/>
    <m/>
    <m/>
    <m/>
    <m/>
    <m/>
    <m/>
    <n v="43"/>
    <n v="1"/>
    <n v="1"/>
    <n v="1"/>
    <n v="0"/>
    <n v="32"/>
    <n v="9"/>
    <n v="3"/>
  </r>
  <r>
    <m/>
    <x v="5"/>
    <s v="A-493-0073"/>
    <s v="714S"/>
    <x v="0"/>
    <d v="2025-06-02T00:00:00"/>
    <d v="2025-06-05T00:00:00"/>
    <m/>
    <d v="1899-12-30T11:00:00"/>
    <d v="1899-12-30T08:00:00"/>
    <d v="1899-12-30T18:00:00"/>
    <d v="1899-12-30T16:00:00"/>
    <d v="1899-12-30T05:00:00"/>
    <d v="1899-12-30T00:00:00"/>
    <s v="SOH Contractor"/>
    <m/>
    <m/>
    <n v="30"/>
    <n v="32"/>
    <n v="4"/>
    <n v="433"/>
    <n v="13"/>
    <n v="0"/>
    <m/>
    <m/>
    <m/>
    <m/>
    <m/>
    <m/>
    <n v="43"/>
    <n v="1"/>
    <n v="1"/>
    <n v="1"/>
    <n v="0"/>
    <n v="32"/>
    <n v="17"/>
    <n v="3"/>
  </r>
  <r>
    <m/>
    <x v="39"/>
    <s v="A-493-2017"/>
    <s v="12x3"/>
    <x v="27"/>
    <d v="2025-06-02T00:00:00"/>
    <d v="2025-06-06T00:00:00"/>
    <d v="1899-12-30T08:00:00"/>
    <m/>
    <m/>
    <m/>
    <m/>
    <m/>
    <m/>
    <s v="ENV Contractor"/>
    <m/>
    <m/>
    <n v="25"/>
    <n v="40"/>
    <n v="5"/>
    <n v="30"/>
    <n v="24"/>
    <n v="0"/>
    <m/>
    <m/>
    <m/>
    <m/>
    <m/>
    <m/>
    <n v="44"/>
    <n v="1"/>
    <n v="1"/>
    <n v="1"/>
    <n v="0"/>
    <n v="40"/>
    <n v="1"/>
    <n v="3"/>
  </r>
  <r>
    <s v="Virginia Beach, VA"/>
    <x v="24"/>
    <s v="A-493-0013"/>
    <n v="3683"/>
    <x v="50"/>
    <d v="2025-06-03T00:00:00"/>
    <d v="2025-06-05T00:00:00"/>
    <d v="1899-12-30T08:00:00"/>
    <m/>
    <m/>
    <m/>
    <m/>
    <m/>
    <m/>
    <s v="W. Bailey"/>
    <m/>
    <m/>
    <n v="40"/>
    <n v="24"/>
    <n v="3"/>
    <n v="0"/>
    <n v="24"/>
    <n v="0"/>
    <m/>
    <m/>
    <m/>
    <m/>
    <m/>
    <m/>
    <n v="43"/>
    <n v="1"/>
    <n v="1"/>
    <n v="1"/>
    <n v="0"/>
    <n v="24"/>
    <n v="16"/>
    <n v="3"/>
  </r>
  <r>
    <m/>
    <x v="22"/>
    <s v="A-493-2501"/>
    <s v="05ZE"/>
    <x v="51"/>
    <d v="2025-06-04T00:00:00"/>
    <d v="2025-06-04T00:00:00"/>
    <d v="1899-12-30T08:00:00"/>
    <m/>
    <m/>
    <m/>
    <m/>
    <m/>
    <m/>
    <s v="ENV Contractor"/>
    <m/>
    <m/>
    <n v="30"/>
    <n v="8"/>
    <n v="1"/>
    <n v="35"/>
    <n v="5"/>
    <n v="0"/>
    <m/>
    <m/>
    <m/>
    <m/>
    <m/>
    <m/>
    <n v="42"/>
    <n v="1"/>
    <n v="1"/>
    <n v="1"/>
    <n v="0"/>
    <n v="8"/>
    <n v="25"/>
    <n v="3"/>
  </r>
  <r>
    <m/>
    <x v="38"/>
    <s v="A-493-2301"/>
    <s v="05ZD"/>
    <x v="38"/>
    <d v="2025-06-05T00:00:00"/>
    <d v="2025-06-05T00:00:00"/>
    <d v="1899-12-30T08:00:00"/>
    <m/>
    <m/>
    <m/>
    <m/>
    <m/>
    <m/>
    <s v="ENV Contractor"/>
    <m/>
    <m/>
    <n v="30"/>
    <n v="8"/>
    <n v="1"/>
    <n v="34"/>
    <n v="5"/>
    <n v="0"/>
    <m/>
    <m/>
    <m/>
    <m/>
    <m/>
    <m/>
    <n v="43"/>
    <n v="1"/>
    <n v="1"/>
    <n v="1"/>
    <n v="0"/>
    <n v="8"/>
    <n v="25"/>
    <n v="3"/>
  </r>
  <r>
    <m/>
    <x v="22"/>
    <s v="A-493-2501"/>
    <s v="05ZE"/>
    <x v="38"/>
    <d v="2025-06-06T00:00:00"/>
    <d v="2025-06-06T00:00:00"/>
    <d v="1899-12-30T08:00:00"/>
    <m/>
    <m/>
    <m/>
    <m/>
    <m/>
    <m/>
    <s v="ENV Contractor"/>
    <m/>
    <m/>
    <n v="30"/>
    <n v="8"/>
    <n v="1"/>
    <n v="33"/>
    <n v="5"/>
    <n v="0"/>
    <m/>
    <m/>
    <m/>
    <m/>
    <m/>
    <m/>
    <n v="44"/>
    <n v="1"/>
    <n v="1"/>
    <n v="1"/>
    <n v="0"/>
    <n v="8"/>
    <n v="25"/>
    <n v="3"/>
  </r>
  <r>
    <m/>
    <x v="9"/>
    <s v="A-493-0012"/>
    <n v="3682"/>
    <x v="14"/>
    <d v="2025-06-09T00:00:00"/>
    <d v="2025-06-13T00:00:00"/>
    <d v="1899-12-30T08:00:00"/>
    <m/>
    <m/>
    <m/>
    <m/>
    <m/>
    <m/>
    <s v="R. Hartel"/>
    <m/>
    <m/>
    <n v="40"/>
    <n v="40"/>
    <n v="5"/>
    <n v="25"/>
    <n v="16"/>
    <n v="0"/>
    <m/>
    <m/>
    <m/>
    <m/>
    <m/>
    <m/>
    <n v="51"/>
    <n v="1"/>
    <n v="1"/>
    <n v="1"/>
    <n v="0"/>
    <n v="40"/>
    <n v="24"/>
    <n v="3"/>
  </r>
  <r>
    <d v="2025-03-19T00:00:00"/>
    <x v="24"/>
    <s v="A-493-0013"/>
    <n v="3683"/>
    <x v="51"/>
    <d v="2025-06-09T00:00:00"/>
    <d v="2025-06-11T00:00:00"/>
    <s v="0800"/>
    <m/>
    <m/>
    <m/>
    <m/>
    <m/>
    <m/>
    <s v="G. Jester"/>
    <m/>
    <m/>
    <n v="40"/>
    <n v="24"/>
    <m/>
    <m/>
    <m/>
    <m/>
    <m/>
    <m/>
    <m/>
    <m/>
    <m/>
    <m/>
    <n v="49"/>
    <n v="1"/>
    <n v="1"/>
    <n v="1"/>
    <n v="0"/>
    <n v="24"/>
    <n v="35"/>
    <m/>
  </r>
  <r>
    <s v="POC: GySgt Perez"/>
    <x v="12"/>
    <s v="Reserved"/>
    <s v="Reserved "/>
    <x v="1"/>
    <d v="2025-06-09T00:00:00"/>
    <d v="2025-06-13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51"/>
    <n v="0"/>
    <n v="1"/>
    <n v="0"/>
    <n v="0"/>
    <e v="#DIV/0!"/>
    <m/>
    <m/>
  </r>
  <r>
    <m/>
    <x v="34"/>
    <s v="A-493-0103"/>
    <s v="12JY"/>
    <x v="52"/>
    <d v="2025-06-09T00:00:00"/>
    <d v="2025-06-13T00:00:00"/>
    <d v="1899-12-30T08:00:00"/>
    <m/>
    <m/>
    <m/>
    <m/>
    <m/>
    <m/>
    <s v="SOH Contractor"/>
    <m/>
    <m/>
    <n v="25"/>
    <n v="40"/>
    <n v="5"/>
    <n v="19"/>
    <n v="19"/>
    <n v="0"/>
    <m/>
    <m/>
    <m/>
    <m/>
    <m/>
    <m/>
    <n v="51"/>
    <n v="1"/>
    <n v="1"/>
    <n v="1"/>
    <n v="0"/>
    <n v="40"/>
    <n v="6"/>
    <n v="3"/>
  </r>
  <r>
    <m/>
    <x v="34"/>
    <s v="A-493-0103"/>
    <s v="12JY"/>
    <x v="15"/>
    <d v="2025-06-09T00:00:00"/>
    <d v="2025-06-13T00:00:00"/>
    <d v="1899-12-30T08:00:00"/>
    <m/>
    <m/>
    <m/>
    <m/>
    <m/>
    <m/>
    <s v="SOH Contractor"/>
    <m/>
    <m/>
    <n v="25"/>
    <n v="40"/>
    <n v="5"/>
    <n v="155"/>
    <n v="23"/>
    <n v="0"/>
    <m/>
    <m/>
    <m/>
    <m/>
    <m/>
    <m/>
    <n v="51"/>
    <n v="1"/>
    <n v="1"/>
    <n v="1"/>
    <n v="0"/>
    <n v="40"/>
    <n v="2"/>
    <n v="3"/>
  </r>
  <r>
    <m/>
    <x v="20"/>
    <s v="A-493-0061"/>
    <s v="288E"/>
    <x v="0"/>
    <d v="2025-06-09T00:00:00"/>
    <d v="2025-06-12T00:00:00"/>
    <m/>
    <d v="1899-12-30T08:00:00"/>
    <d v="1899-12-30T05:00:00"/>
    <d v="1899-12-30T15:00:00"/>
    <d v="1899-12-30T13:00:00"/>
    <d v="1899-12-30T02:00:00"/>
    <d v="1899-12-30T21:00:00"/>
    <s v="S. Griffin"/>
    <m/>
    <m/>
    <n v="45"/>
    <n v="30"/>
    <n v="4"/>
    <m/>
    <n v="10"/>
    <n v="0"/>
    <m/>
    <m/>
    <m/>
    <m/>
    <m/>
    <m/>
    <n v="50"/>
    <n v="1"/>
    <n v="1"/>
    <n v="1"/>
    <n v="0"/>
    <n v="30"/>
    <n v="35"/>
    <n v="3"/>
  </r>
  <r>
    <m/>
    <x v="3"/>
    <s v="A-493-0078"/>
    <n v="1228"/>
    <x v="0"/>
    <d v="2025-06-09T00:00:00"/>
    <d v="2025-06-12T00:00:00"/>
    <m/>
    <d v="1899-12-30T07:00:00"/>
    <d v="1899-12-30T04:00:00"/>
    <d v="1899-12-30T14:00:00"/>
    <d v="1899-12-30T12:00:00"/>
    <d v="1899-12-30T01:00:00"/>
    <d v="1899-12-30T20:00:00"/>
    <s v="T. White"/>
    <m/>
    <m/>
    <n v="45"/>
    <n v="32"/>
    <n v="4"/>
    <m/>
    <n v="15"/>
    <n v="0"/>
    <m/>
    <m/>
    <m/>
    <m/>
    <m/>
    <m/>
    <n v="50"/>
    <n v="1"/>
    <n v="1"/>
    <n v="1"/>
    <n v="0"/>
    <n v="32"/>
    <n v="30"/>
    <n v="3"/>
  </r>
  <r>
    <m/>
    <x v="6"/>
    <s v="A-493-0085"/>
    <n v="3555"/>
    <x v="0"/>
    <d v="2025-06-09T00:00:00"/>
    <d v="2025-06-12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m/>
    <n v="10"/>
    <n v="0"/>
    <m/>
    <m/>
    <m/>
    <m/>
    <m/>
    <m/>
    <n v="50"/>
    <n v="1"/>
    <n v="1"/>
    <n v="1"/>
    <n v="0"/>
    <n v="32"/>
    <n v="35"/>
    <n v="3"/>
  </r>
  <r>
    <s v="Marines"/>
    <x v="16"/>
    <s v="A-493-0072"/>
    <s v="713U"/>
    <x v="32"/>
    <d v="2025-06-09T00:00:00"/>
    <d v="2025-06-13T00:00:00"/>
    <d v="1899-12-30T08:00:00"/>
    <m/>
    <m/>
    <m/>
    <m/>
    <m/>
    <m/>
    <s v="A. Harris"/>
    <m/>
    <s v="EMN1 Stowe"/>
    <n v="30"/>
    <n v="40"/>
    <n v="5"/>
    <m/>
    <n v="5"/>
    <n v="0"/>
    <m/>
    <m/>
    <m/>
    <m/>
    <m/>
    <m/>
    <n v="51"/>
    <n v="1"/>
    <n v="1"/>
    <n v="1"/>
    <n v="0"/>
    <n v="40"/>
    <n v="25"/>
    <n v="3"/>
  </r>
  <r>
    <m/>
    <x v="35"/>
    <s v="A-4J-0019"/>
    <s v="28SL/28SM"/>
    <x v="13"/>
    <d v="2025-06-09T00:00:00"/>
    <d v="2025-06-13T00:00:00"/>
    <d v="1899-12-30T08:00:00"/>
    <m/>
    <m/>
    <m/>
    <m/>
    <m/>
    <m/>
    <s v="J. Wilson"/>
    <s v="M. Bailey "/>
    <m/>
    <n v="20"/>
    <n v="40"/>
    <n v="5"/>
    <n v="351"/>
    <n v="1"/>
    <n v="49"/>
    <m/>
    <m/>
    <m/>
    <m/>
    <m/>
    <m/>
    <n v="51"/>
    <n v="1"/>
    <n v="1"/>
    <n v="1"/>
    <n v="1"/>
    <n v="20"/>
    <n v="0"/>
    <n v="3"/>
  </r>
  <r>
    <m/>
    <x v="38"/>
    <s v="A-493-2301"/>
    <s v="05ZD"/>
    <x v="4"/>
    <d v="2025-06-09T00:00:00"/>
    <d v="2025-06-09T00:00:00"/>
    <d v="1899-12-30T08:00:00"/>
    <m/>
    <m/>
    <m/>
    <m/>
    <m/>
    <m/>
    <s v="ENV Contractor"/>
    <m/>
    <m/>
    <n v="30"/>
    <n v="8"/>
    <n v="1"/>
    <n v="59"/>
    <n v="13"/>
    <n v="0"/>
    <m/>
    <m/>
    <m/>
    <m/>
    <m/>
    <m/>
    <n v="47"/>
    <n v="1"/>
    <n v="1"/>
    <n v="1"/>
    <n v="0"/>
    <n v="8"/>
    <n v="17"/>
    <n v="3"/>
  </r>
  <r>
    <m/>
    <x v="1"/>
    <s v="A-570-0100"/>
    <s v="18B7"/>
    <x v="0"/>
    <d v="2025-06-09T00:00:00"/>
    <d v="2025-06-10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m/>
    <n v="12"/>
    <n v="0"/>
    <m/>
    <m/>
    <m/>
    <m/>
    <m/>
    <m/>
    <n v="48"/>
    <n v="1"/>
    <n v="1"/>
    <n v="1"/>
    <n v="0"/>
    <n v="16"/>
    <n v="33"/>
    <n v="3"/>
  </r>
  <r>
    <m/>
    <x v="2"/>
    <s v="A-493-2098"/>
    <s v="09WW"/>
    <x v="0"/>
    <d v="2025-06-09T00:00:00"/>
    <d v="2025-06-10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m/>
    <n v="100"/>
    <n v="0"/>
    <m/>
    <m/>
    <m/>
    <m/>
    <m/>
    <m/>
    <n v="48"/>
    <n v="1"/>
    <n v="1"/>
    <n v="1"/>
    <n v="0"/>
    <n v="16"/>
    <n v="0"/>
    <n v="3"/>
  </r>
  <r>
    <s v="USMC Special Convening"/>
    <x v="39"/>
    <s v="A-493-2017"/>
    <s v="12x3"/>
    <x v="53"/>
    <d v="2025-06-09T00:00:00"/>
    <d v="2025-06-13T00:00:00"/>
    <d v="1899-12-30T08:00:00"/>
    <m/>
    <m/>
    <m/>
    <m/>
    <m/>
    <m/>
    <s v="ENV Contractor"/>
    <m/>
    <m/>
    <n v="25"/>
    <n v="40"/>
    <n v="5"/>
    <n v="0"/>
    <n v="8"/>
    <n v="0"/>
    <m/>
    <m/>
    <m/>
    <m/>
    <m/>
    <m/>
    <n v="51"/>
    <n v="1"/>
    <n v="1"/>
    <n v="1"/>
    <n v="0"/>
    <n v="40"/>
    <n v="17"/>
    <n v="3"/>
  </r>
  <r>
    <m/>
    <x v="32"/>
    <s v="A-493-0099"/>
    <s v="12JW"/>
    <x v="0"/>
    <d v="2025-06-10T00:00:00"/>
    <d v="2025-06-12T00:00:00"/>
    <m/>
    <d v="1899-12-30T10:00:00"/>
    <d v="1899-12-30T07:00:00"/>
    <d v="1899-12-30T17:00:00"/>
    <d v="1899-12-30T16:00:00"/>
    <d v="1899-12-30T04:00:00"/>
    <d v="1899-12-30T23:00:00"/>
    <s v="V. Kentish"/>
    <m/>
    <m/>
    <n v="45"/>
    <n v="24"/>
    <n v="3"/>
    <m/>
    <n v="15"/>
    <n v="0"/>
    <m/>
    <m/>
    <m/>
    <m/>
    <m/>
    <m/>
    <n v="50"/>
    <n v="1"/>
    <n v="1"/>
    <n v="1"/>
    <n v="0"/>
    <n v="24"/>
    <n v="30"/>
    <n v="3"/>
  </r>
  <r>
    <m/>
    <x v="33"/>
    <s v="A-493-0075 "/>
    <s v="714U"/>
    <x v="5"/>
    <d v="2025-06-10T00:00:00"/>
    <d v="2025-06-13T00:00:00"/>
    <d v="1899-12-30T08:00:00"/>
    <m/>
    <m/>
    <m/>
    <m/>
    <m/>
    <m/>
    <s v="SOH Contractor"/>
    <m/>
    <m/>
    <n v="30"/>
    <n v="32"/>
    <n v="4"/>
    <n v="11"/>
    <n v="5"/>
    <n v="0"/>
    <m/>
    <m/>
    <m/>
    <m/>
    <m/>
    <m/>
    <n v="51"/>
    <n v="1"/>
    <n v="1"/>
    <n v="1"/>
    <n v="0"/>
    <n v="32"/>
    <n v="25"/>
    <n v="3"/>
  </r>
  <r>
    <m/>
    <x v="13"/>
    <s v="A-493-0331"/>
    <s v="10UG"/>
    <x v="0"/>
    <d v="2025-06-10T00:00:00"/>
    <d v="2025-06-12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m/>
    <n v="45"/>
    <n v="0"/>
    <m/>
    <m/>
    <m/>
    <m/>
    <m/>
    <m/>
    <n v="50"/>
    <n v="1"/>
    <n v="1"/>
    <n v="1"/>
    <n v="0"/>
    <n v="24"/>
    <n v="0"/>
    <n v="3"/>
  </r>
  <r>
    <m/>
    <x v="36"/>
    <s v="A-493-0077"/>
    <s v="0381"/>
    <x v="54"/>
    <d v="2025-06-10T00:00:00"/>
    <d v="2025-06-12T00:00:00"/>
    <d v="1899-12-30T08:00:00"/>
    <m/>
    <m/>
    <m/>
    <m/>
    <m/>
    <m/>
    <s v="ENV Contractor"/>
    <m/>
    <m/>
    <n v="25"/>
    <n v="24"/>
    <n v="3"/>
    <n v="16"/>
    <n v="0"/>
    <m/>
    <m/>
    <m/>
    <m/>
    <m/>
    <m/>
    <m/>
    <n v="50"/>
    <n v="1"/>
    <n v="1"/>
    <n v="1"/>
    <n v="0"/>
    <n v="24"/>
    <n v="25"/>
    <n v="3"/>
  </r>
  <r>
    <s v="Japan Time Zone Focused   (EDT 1900hr on 6/9/2025)"/>
    <x v="21"/>
    <s v="A-493-0083"/>
    <s v="339E"/>
    <x v="0"/>
    <d v="2025-06-10T00:00:00"/>
    <d v="2025-06-10T00:00:00"/>
    <m/>
    <d v="1899-12-30T19:00:00"/>
    <d v="1899-12-30T16:00:00"/>
    <d v="1899-12-30T02:00:00"/>
    <d v="1899-12-30T00:00:00"/>
    <d v="1899-12-30T13:00:00"/>
    <d v="1899-12-30T08:00:00"/>
    <s v="ENV Contractor"/>
    <m/>
    <m/>
    <n v="30"/>
    <n v="8"/>
    <n v="1"/>
    <n v="0"/>
    <n v="16"/>
    <n v="0"/>
    <m/>
    <m/>
    <m/>
    <m/>
    <m/>
    <m/>
    <n v="48"/>
    <n v="1"/>
    <n v="1"/>
    <n v="1"/>
    <n v="0"/>
    <n v="8"/>
    <n v="14"/>
    <n v="3"/>
  </r>
  <r>
    <m/>
    <x v="22"/>
    <s v="A-493-2501"/>
    <s v="05ZE"/>
    <x v="1"/>
    <d v="2025-06-10T00:00:00"/>
    <d v="2025-06-10T00:00:00"/>
    <d v="1899-12-30T08:00:00"/>
    <m/>
    <m/>
    <m/>
    <m/>
    <m/>
    <m/>
    <s v="ENV Contractor"/>
    <m/>
    <m/>
    <n v="30"/>
    <n v="8"/>
    <n v="1"/>
    <n v="78"/>
    <n v="1"/>
    <n v="0"/>
    <m/>
    <m/>
    <m/>
    <m/>
    <m/>
    <m/>
    <n v="48"/>
    <n v="1"/>
    <n v="1"/>
    <n v="1"/>
    <n v="0"/>
    <n v="8"/>
    <n v="29"/>
    <n v="3"/>
  </r>
  <r>
    <m/>
    <x v="22"/>
    <s v="A-493-2501"/>
    <s v="05ZE"/>
    <x v="50"/>
    <d v="2025-06-11T00:00:00"/>
    <d v="2025-06-11T00:00:00"/>
    <d v="1899-12-30T08:00:00"/>
    <m/>
    <m/>
    <m/>
    <m/>
    <m/>
    <m/>
    <s v="ENV Contractor"/>
    <m/>
    <m/>
    <n v="30"/>
    <n v="8"/>
    <n v="1"/>
    <n v="2"/>
    <n v="5"/>
    <n v="0"/>
    <m/>
    <m/>
    <m/>
    <m/>
    <m/>
    <m/>
    <n v="49"/>
    <n v="1"/>
    <n v="1"/>
    <n v="1"/>
    <n v="0"/>
    <n v="8"/>
    <n v="25"/>
    <n v="3"/>
  </r>
  <r>
    <m/>
    <x v="22"/>
    <s v="A-493-2501"/>
    <s v="05ZE"/>
    <x v="55"/>
    <d v="2025-06-12T00:00:00"/>
    <d v="2025-06-12T00:00:00"/>
    <d v="1899-12-30T08:00:00"/>
    <m/>
    <m/>
    <m/>
    <m/>
    <m/>
    <m/>
    <s v="ENV Contractor"/>
    <m/>
    <m/>
    <n v="30"/>
    <n v="8"/>
    <n v="1"/>
    <n v="0"/>
    <n v="2"/>
    <n v="0"/>
    <m/>
    <m/>
    <m/>
    <m/>
    <m/>
    <m/>
    <n v="50"/>
    <n v="1"/>
    <n v="1"/>
    <n v="1"/>
    <n v="0"/>
    <n v="8"/>
    <n v="28"/>
    <n v="3"/>
  </r>
  <r>
    <m/>
    <x v="21"/>
    <s v="A-493-0083"/>
    <s v="339E"/>
    <x v="54"/>
    <d v="2025-06-13T00:00:00"/>
    <d v="2025-06-13T00:00:00"/>
    <d v="1899-12-30T08:00:00"/>
    <m/>
    <m/>
    <m/>
    <m/>
    <m/>
    <m/>
    <s v="ENV Contractor"/>
    <m/>
    <m/>
    <n v="30"/>
    <n v="8"/>
    <n v="1"/>
    <n v="19"/>
    <n v="9"/>
    <n v="0"/>
    <m/>
    <m/>
    <m/>
    <m/>
    <m/>
    <m/>
    <n v="51"/>
    <n v="1"/>
    <n v="1"/>
    <n v="1"/>
    <n v="0"/>
    <n v="8"/>
    <n v="21"/>
    <n v="3"/>
  </r>
  <r>
    <s v="Yorktown NWS (NCRSE)"/>
    <x v="22"/>
    <s v="A-493-2501"/>
    <s v="05ZE"/>
    <x v="56"/>
    <d v="2025-06-13T00:00:00"/>
    <d v="2025-06-13T00:00:00"/>
    <d v="1899-12-30T08:00:00"/>
    <m/>
    <m/>
    <m/>
    <m/>
    <m/>
    <m/>
    <s v="ENV Contractor"/>
    <m/>
    <m/>
    <n v="30"/>
    <n v="8"/>
    <n v="1"/>
    <n v="30"/>
    <n v="2"/>
    <n v="0"/>
    <m/>
    <m/>
    <m/>
    <m/>
    <m/>
    <m/>
    <n v="51"/>
    <n v="1"/>
    <n v="1"/>
    <n v="1"/>
    <n v="0"/>
    <n v="8"/>
    <n v="28"/>
    <n v="3"/>
  </r>
  <r>
    <m/>
    <x v="28"/>
    <s v="A-493-0092"/>
    <n v="5891"/>
    <x v="1"/>
    <d v="2025-06-16T00:00:00"/>
    <d v="2025-06-18T00:00:00"/>
    <d v="1899-12-30T08:00:00"/>
    <m/>
    <m/>
    <m/>
    <m/>
    <m/>
    <m/>
    <s v="W. Mitchell"/>
    <s v="LTJG Bozenski"/>
    <m/>
    <n v="25"/>
    <n v="24"/>
    <n v="3"/>
    <m/>
    <n v="4"/>
    <n v="0"/>
    <m/>
    <m/>
    <m/>
    <m/>
    <m/>
    <m/>
    <n v="56"/>
    <n v="1"/>
    <n v="1"/>
    <n v="1"/>
    <n v="1"/>
    <n v="12"/>
    <n v="21"/>
    <n v="3"/>
  </r>
  <r>
    <s v="Juneteenth"/>
    <x v="10"/>
    <s v="Holiday"/>
    <s v="Holiday"/>
    <x v="3"/>
    <d v="2025-06-19T00:00:00"/>
    <d v="2025-06-1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57"/>
    <n v="0"/>
    <n v="1"/>
    <n v="0"/>
    <n v="0"/>
    <e v="#DIV/0!"/>
    <m/>
    <m/>
  </r>
  <r>
    <s v="POC EMC Stroughn"/>
    <x v="12"/>
    <s v="Reserved"/>
    <s v="Reserved "/>
    <x v="1"/>
    <d v="2025-06-22T00:00:00"/>
    <d v="2025-06-24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62"/>
    <n v="0"/>
    <n v="1"/>
    <n v="0"/>
    <n v="0"/>
    <e v="#DIV/0!"/>
    <m/>
    <m/>
  </r>
  <r>
    <m/>
    <x v="30"/>
    <s v="A-493-0665"/>
    <s v="10KW"/>
    <x v="0"/>
    <d v="2025-06-23T00:00:00"/>
    <d v="2025-06-25T00:00:00"/>
    <m/>
    <d v="1899-12-30T19:00:00"/>
    <d v="1899-12-30T16:00:00"/>
    <d v="1899-12-30T02:00:00"/>
    <d v="1899-12-30T00:00:00"/>
    <d v="1899-12-30T13:00:00"/>
    <d v="1899-12-30T08:00:00"/>
    <s v="LSC Kitivi"/>
    <m/>
    <m/>
    <n v="45"/>
    <n v="24"/>
    <n v="3"/>
    <m/>
    <n v="10"/>
    <n v="0"/>
    <m/>
    <m/>
    <m/>
    <m/>
    <m/>
    <m/>
    <n v="63"/>
    <n v="1"/>
    <n v="1"/>
    <n v="1"/>
    <n v="0"/>
    <n v="24"/>
    <n v="35"/>
    <n v="3"/>
  </r>
  <r>
    <m/>
    <x v="9"/>
    <s v="A-493-0012"/>
    <n v="3682"/>
    <x v="41"/>
    <d v="2025-06-23T00:00:00"/>
    <d v="2025-06-27T00:00:00"/>
    <d v="1899-12-30T08:00:00"/>
    <m/>
    <m/>
    <m/>
    <m/>
    <m/>
    <m/>
    <s v="R. Hartel"/>
    <m/>
    <m/>
    <n v="40"/>
    <n v="40"/>
    <n v="5"/>
    <n v="15"/>
    <n v="27"/>
    <n v="0"/>
    <m/>
    <m/>
    <m/>
    <m/>
    <m/>
    <m/>
    <n v="65"/>
    <n v="1"/>
    <n v="1"/>
    <n v="1"/>
    <n v="0"/>
    <n v="40"/>
    <n v="13"/>
    <n v="3"/>
  </r>
  <r>
    <m/>
    <x v="41"/>
    <s v="A-493-0021"/>
    <s v="18BN"/>
    <x v="11"/>
    <d v="2025-06-23T00:00:00"/>
    <d v="2025-06-27T00:00:00"/>
    <d v="1899-12-30T08:00:00"/>
    <m/>
    <m/>
    <m/>
    <m/>
    <m/>
    <m/>
    <s v="SOH Contractor"/>
    <m/>
    <m/>
    <n v="35"/>
    <n v="30"/>
    <n v="5"/>
    <n v="60"/>
    <n v="16"/>
    <n v="0"/>
    <m/>
    <m/>
    <m/>
    <m/>
    <m/>
    <m/>
    <n v="65"/>
    <n v="1"/>
    <n v="1"/>
    <n v="1"/>
    <n v="0"/>
    <n v="30"/>
    <n v="19"/>
    <n v="3"/>
  </r>
  <r>
    <m/>
    <x v="20"/>
    <s v="A-493-0061"/>
    <s v="288E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S. Griffin"/>
    <m/>
    <m/>
    <n v="45"/>
    <n v="30"/>
    <n v="4"/>
    <m/>
    <n v="11"/>
    <n v="0"/>
    <m/>
    <m/>
    <m/>
    <m/>
    <m/>
    <m/>
    <n v="64"/>
    <n v="1"/>
    <n v="1"/>
    <n v="1"/>
    <n v="0"/>
    <n v="30"/>
    <n v="34"/>
    <n v="3"/>
  </r>
  <r>
    <m/>
    <x v="0"/>
    <s v="A-322-2604"/>
    <s v="10ZZ"/>
    <x v="0"/>
    <d v="2025-06-23T00:00:00"/>
    <d v="2025-06-25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m/>
    <n v="17"/>
    <n v="0"/>
    <m/>
    <m/>
    <m/>
    <m/>
    <m/>
    <m/>
    <n v="63"/>
    <n v="1"/>
    <n v="1"/>
    <n v="1"/>
    <n v="0"/>
    <n v="24"/>
    <n v="28"/>
    <n v="3"/>
  </r>
  <r>
    <m/>
    <x v="14"/>
    <s v="A-493-0335"/>
    <s v="09ND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W. Mitchell"/>
    <m/>
    <m/>
    <n v="45"/>
    <n v="32"/>
    <n v="4"/>
    <m/>
    <n v="7"/>
    <n v="0"/>
    <m/>
    <m/>
    <m/>
    <m/>
    <m/>
    <m/>
    <n v="64"/>
    <n v="1"/>
    <n v="1"/>
    <n v="1"/>
    <n v="0"/>
    <n v="32"/>
    <n v="38"/>
    <n v="3"/>
  </r>
  <r>
    <m/>
    <x v="4"/>
    <s v="A-493-0550"/>
    <s v="09K5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A. DeCastro"/>
    <m/>
    <m/>
    <n v="45"/>
    <n v="32"/>
    <n v="4"/>
    <m/>
    <n v="20"/>
    <n v="0"/>
    <m/>
    <m/>
    <m/>
    <m/>
    <m/>
    <m/>
    <n v="64"/>
    <n v="1"/>
    <n v="1"/>
    <n v="1"/>
    <n v="0"/>
    <n v="32"/>
    <n v="25"/>
    <n v="3"/>
  </r>
  <r>
    <m/>
    <x v="3"/>
    <s v="A-493-0078"/>
    <n v="1228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T. White"/>
    <m/>
    <m/>
    <n v="45"/>
    <n v="32"/>
    <n v="4"/>
    <m/>
    <n v="6"/>
    <n v="0"/>
    <m/>
    <m/>
    <m/>
    <m/>
    <m/>
    <m/>
    <n v="64"/>
    <n v="1"/>
    <n v="1"/>
    <n v="1"/>
    <n v="0"/>
    <n v="32"/>
    <n v="39"/>
    <n v="3"/>
  </r>
  <r>
    <m/>
    <x v="6"/>
    <s v="A-493-0085"/>
    <n v="3555"/>
    <x v="0"/>
    <d v="2025-06-23T00:00:00"/>
    <d v="2025-06-26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m/>
    <n v="6"/>
    <n v="0"/>
    <m/>
    <m/>
    <m/>
    <m/>
    <m/>
    <m/>
    <n v="64"/>
    <n v="1"/>
    <n v="1"/>
    <n v="1"/>
    <n v="0"/>
    <n v="32"/>
    <n v="39"/>
    <n v="3"/>
  </r>
  <r>
    <m/>
    <x v="16"/>
    <s v="A-493-0072"/>
    <s v="713U"/>
    <x v="18"/>
    <d v="2025-06-23T00:00:00"/>
    <d v="2025-06-27T00:00:00"/>
    <d v="1899-12-30T08:00:00"/>
    <m/>
    <m/>
    <m/>
    <m/>
    <m/>
    <m/>
    <s v="LTJG Bozenski"/>
    <s v="CDR Schaal + CDR Barrus"/>
    <m/>
    <n v="30"/>
    <n v="40"/>
    <n v="5"/>
    <m/>
    <n v="26"/>
    <n v="2"/>
    <m/>
    <m/>
    <m/>
    <m/>
    <m/>
    <m/>
    <n v="65"/>
    <n v="1"/>
    <n v="1"/>
    <n v="1"/>
    <n v="1"/>
    <n v="20"/>
    <n v="4"/>
    <n v="3"/>
  </r>
  <r>
    <m/>
    <x v="21"/>
    <s v="A-493-0083"/>
    <s v="339E"/>
    <x v="0"/>
    <d v="2025-06-23T00:00:00"/>
    <d v="2025-06-23T00:00:00"/>
    <m/>
    <d v="1899-12-30T11:00:00"/>
    <d v="1899-12-30T08:00:00"/>
    <d v="1899-12-30T18:00:00"/>
    <d v="1899-12-30T16:00:00"/>
    <d v="1899-12-30T05:00:00"/>
    <d v="1899-12-30T00:00:00"/>
    <s v="ENV Contractor"/>
    <m/>
    <m/>
    <n v="30"/>
    <n v="8"/>
    <n v="1"/>
    <n v="0"/>
    <n v="29"/>
    <n v="0"/>
    <m/>
    <m/>
    <m/>
    <m/>
    <m/>
    <m/>
    <n v="61"/>
    <n v="1"/>
    <n v="1"/>
    <n v="1"/>
    <n v="0"/>
    <n v="8"/>
    <n v="1"/>
    <n v="3"/>
  </r>
  <r>
    <m/>
    <x v="26"/>
    <s v="A-4J-0022"/>
    <s v="09ER"/>
    <x v="0"/>
    <d v="2025-06-24T00:00:00"/>
    <d v="2025-06-25T00:00:00"/>
    <m/>
    <d v="1899-12-30T12:00:00"/>
    <d v="1899-12-30T09:00:00"/>
    <d v="1899-12-30T19:00:00"/>
    <d v="1899-12-30T18:00:00"/>
    <d v="1899-12-30T06:00:00"/>
    <d v="1899-12-30T01:00:00"/>
    <s v="K. Seo"/>
    <m/>
    <m/>
    <n v="45"/>
    <n v="16"/>
    <n v="2"/>
    <m/>
    <n v="19"/>
    <n v="0"/>
    <m/>
    <m/>
    <m/>
    <m/>
    <m/>
    <m/>
    <n v="63"/>
    <n v="1"/>
    <n v="1"/>
    <n v="1"/>
    <n v="0"/>
    <n v="16"/>
    <n v="26"/>
    <n v="3"/>
  </r>
  <r>
    <m/>
    <x v="24"/>
    <s v="A-493-0013"/>
    <n v="3683"/>
    <x v="57"/>
    <d v="2025-06-24T00:00:00"/>
    <d v="2025-06-26T00:00:00"/>
    <d v="1899-12-30T08:00:00"/>
    <m/>
    <m/>
    <m/>
    <m/>
    <m/>
    <m/>
    <s v="W. Bailey"/>
    <m/>
    <m/>
    <n v="40"/>
    <n v="24"/>
    <n v="3"/>
    <n v="30"/>
    <n v="11"/>
    <n v="0"/>
    <m/>
    <m/>
    <m/>
    <m/>
    <m/>
    <m/>
    <n v="64"/>
    <n v="1"/>
    <n v="1"/>
    <n v="1"/>
    <n v="0"/>
    <n v="24"/>
    <n v="29"/>
    <n v="3"/>
  </r>
  <r>
    <m/>
    <x v="32"/>
    <s v="A-493-0099"/>
    <s v="12JW"/>
    <x v="0"/>
    <d v="2025-06-24T00:00:00"/>
    <d v="2024-06-26T00:00:00"/>
    <m/>
    <d v="1899-12-30T07:00:00"/>
    <d v="1899-12-30T04:00:00"/>
    <d v="1899-12-30T14:00:00"/>
    <d v="1899-12-30T12:00:00"/>
    <d v="1899-12-30T01:00:00"/>
    <d v="1899-12-30T20:00:00"/>
    <s v="V. Kentish"/>
    <m/>
    <m/>
    <n v="45"/>
    <n v="24"/>
    <n v="3"/>
    <m/>
    <n v="8"/>
    <n v="0"/>
    <m/>
    <m/>
    <m/>
    <m/>
    <m/>
    <m/>
    <n v="-301"/>
    <n v="1"/>
    <n v="1"/>
    <n v="1"/>
    <n v="0"/>
    <n v="24"/>
    <n v="37"/>
    <n v="3"/>
  </r>
  <r>
    <m/>
    <x v="24"/>
    <s v="A-493-0013"/>
    <n v="3683"/>
    <x v="38"/>
    <d v="2025-06-30T00:00:00"/>
    <d v="2025-07-02T00:00:00"/>
    <d v="1899-12-30T08:00:00"/>
    <m/>
    <m/>
    <m/>
    <m/>
    <m/>
    <m/>
    <s v="G. Jester"/>
    <m/>
    <m/>
    <n v="40"/>
    <n v="24"/>
    <n v="3"/>
    <n v="33"/>
    <n v="8"/>
    <n v="0"/>
    <m/>
    <m/>
    <m/>
    <m/>
    <m/>
    <m/>
    <n v="70"/>
    <n v="1"/>
    <n v="1"/>
    <n v="1"/>
    <n v="0"/>
    <n v="24"/>
    <n v="32"/>
    <n v="3"/>
  </r>
  <r>
    <m/>
    <x v="13"/>
    <s v="A-493-0331"/>
    <s v="10UG"/>
    <x v="0"/>
    <d v="2025-06-30T00:00:00"/>
    <d v="2025-07-02T00:00:00"/>
    <m/>
    <d v="1899-12-30T08:00:00"/>
    <d v="1899-12-30T05:00:00"/>
    <d v="1899-12-30T15:00:00"/>
    <d v="1899-12-30T13:00:00"/>
    <d v="1899-12-30T02:00:00"/>
    <d v="1899-12-30T21:00:00"/>
    <s v="LTJG Bozenski"/>
    <m/>
    <m/>
    <n v="45"/>
    <n v="24"/>
    <n v="3"/>
    <m/>
    <n v="45"/>
    <n v="0"/>
    <m/>
    <m/>
    <m/>
    <m/>
    <m/>
    <m/>
    <n v="70"/>
    <n v="1"/>
    <n v="1"/>
    <n v="1"/>
    <n v="0"/>
    <n v="24"/>
    <n v="0"/>
    <n v="3"/>
  </r>
  <r>
    <m/>
    <x v="38"/>
    <s v="A-493-2301"/>
    <s v="05ZD"/>
    <x v="20"/>
    <d v="2025-06-30T00:00:00"/>
    <d v="2025-06-30T00:00:00"/>
    <d v="1899-12-30T08:00:00"/>
    <m/>
    <m/>
    <m/>
    <m/>
    <m/>
    <m/>
    <s v="ENV Contractor"/>
    <m/>
    <m/>
    <n v="30"/>
    <n v="8"/>
    <n v="1"/>
    <n v="10"/>
    <n v="4"/>
    <n v="0"/>
    <m/>
    <m/>
    <m/>
    <m/>
    <m/>
    <m/>
    <n v="68"/>
    <n v="1"/>
    <n v="1"/>
    <n v="1"/>
    <n v="0"/>
    <n v="8"/>
    <n v="26"/>
    <n v="3"/>
  </r>
  <r>
    <s v="July 4th Function"/>
    <x v="8"/>
    <s v="Function"/>
    <s v="Function"/>
    <x v="1"/>
    <d v="2025-07-01T00:00:00"/>
    <d v="2025-07-01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69"/>
    <n v="0"/>
    <n v="1"/>
    <n v="0"/>
    <n v="0"/>
    <e v="#DIV/0!"/>
    <n v="0"/>
    <n v="4"/>
  </r>
  <r>
    <m/>
    <x v="28"/>
    <s v="A-493-0092"/>
    <n v="5891"/>
    <x v="8"/>
    <d v="2025-07-01T00:00:00"/>
    <d v="2025-07-03T00:00:00"/>
    <d v="1899-12-30T08:00:00"/>
    <m/>
    <m/>
    <m/>
    <m/>
    <m/>
    <m/>
    <s v="W. Mitchell"/>
    <s v="CDR Schaal + CDR Barrus"/>
    <m/>
    <n v="25"/>
    <n v="24"/>
    <n v="3"/>
    <m/>
    <n v="0"/>
    <m/>
    <m/>
    <m/>
    <m/>
    <m/>
    <m/>
    <m/>
    <n v="71"/>
    <n v="1"/>
    <n v="1"/>
    <n v="1"/>
    <n v="1"/>
    <n v="12"/>
    <n v="18"/>
    <n v="4"/>
  </r>
  <r>
    <m/>
    <x v="21"/>
    <s v="A-493-0083"/>
    <s v="339E"/>
    <x v="0"/>
    <d v="2025-07-01T00:00:00"/>
    <d v="2025-07-01T00:00:00"/>
    <m/>
    <d v="1899-12-30T08:00:00"/>
    <d v="1899-12-30T05:00:00"/>
    <d v="1899-12-30T15:00:00"/>
    <d v="1899-12-30T13:00:00"/>
    <d v="1899-12-30T02:00:00"/>
    <d v="1899-12-30T21:00:00"/>
    <s v="ENV Contractor"/>
    <m/>
    <m/>
    <n v="30"/>
    <n v="8"/>
    <n v="1"/>
    <n v="0"/>
    <m/>
    <m/>
    <m/>
    <m/>
    <m/>
    <m/>
    <m/>
    <m/>
    <n v="69"/>
    <n v="1"/>
    <n v="1"/>
    <n v="1"/>
    <n v="0"/>
    <n v="8"/>
    <n v="8"/>
    <n v="4"/>
  </r>
  <r>
    <m/>
    <x v="22"/>
    <s v="A-493-2501"/>
    <s v="05ZE"/>
    <x v="20"/>
    <d v="2025-07-01T00:00:00"/>
    <d v="2025-07-01T00:00:00"/>
    <d v="1899-12-30T08:00:00"/>
    <m/>
    <m/>
    <m/>
    <m/>
    <m/>
    <m/>
    <s v="ENV Contractor"/>
    <m/>
    <m/>
    <n v="30"/>
    <n v="8"/>
    <n v="1"/>
    <n v="25"/>
    <m/>
    <m/>
    <m/>
    <m/>
    <m/>
    <m/>
    <m/>
    <m/>
    <n v="69"/>
    <n v="1"/>
    <n v="1"/>
    <n v="1"/>
    <n v="0"/>
    <n v="8"/>
    <n v="28"/>
    <n v="4"/>
  </r>
  <r>
    <s v="Independence Day"/>
    <x v="10"/>
    <s v="Holiday"/>
    <s v="Holiday"/>
    <x v="3"/>
    <d v="2025-07-04T00:00:00"/>
    <d v="2025-07-04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72"/>
    <n v="0"/>
    <n v="1"/>
    <n v="0"/>
    <n v="0"/>
    <e v="#DIV/0!"/>
    <m/>
    <m/>
  </r>
  <r>
    <s v="Naval Station Rota"/>
    <x v="9"/>
    <s v="A-493-0012"/>
    <n v="3682"/>
    <x v="58"/>
    <d v="2025-07-07T00:00:00"/>
    <d v="2025-07-11T00:00:00"/>
    <d v="1899-12-30T08:00:00"/>
    <m/>
    <m/>
    <m/>
    <m/>
    <m/>
    <m/>
    <s v="R. Hartel"/>
    <m/>
    <m/>
    <n v="40"/>
    <n v="40"/>
    <n v="5"/>
    <n v="30"/>
    <m/>
    <m/>
    <m/>
    <m/>
    <m/>
    <m/>
    <m/>
    <m/>
    <n v="79"/>
    <n v="1"/>
    <n v="1"/>
    <n v="1"/>
    <n v="0"/>
    <n v="40"/>
    <n v="14"/>
    <n v="4"/>
  </r>
  <r>
    <m/>
    <x v="18"/>
    <s v="A-493-0069"/>
    <s v="450U"/>
    <x v="15"/>
    <d v="2025-07-07T00:00:00"/>
    <d v="2025-07-11T00:00:00"/>
    <d v="1899-12-30T08:00:00"/>
    <m/>
    <m/>
    <m/>
    <m/>
    <m/>
    <m/>
    <s v="B. Jung"/>
    <s v="A. Harris"/>
    <m/>
    <n v="25"/>
    <n v="40"/>
    <n v="5"/>
    <m/>
    <n v="0"/>
    <m/>
    <m/>
    <m/>
    <m/>
    <m/>
    <m/>
    <m/>
    <n v="79"/>
    <n v="1"/>
    <n v="1"/>
    <n v="1"/>
    <n v="1"/>
    <n v="20"/>
    <n v="22"/>
    <n v="4"/>
  </r>
  <r>
    <m/>
    <x v="0"/>
    <s v="A-322-2604"/>
    <s v="10ZZ"/>
    <x v="0"/>
    <d v="2025-07-07T00:00:00"/>
    <d v="2025-07-09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m/>
    <n v="0"/>
    <m/>
    <m/>
    <m/>
    <m/>
    <m/>
    <m/>
    <m/>
    <n v="77"/>
    <n v="1"/>
    <n v="1"/>
    <n v="1"/>
    <n v="0"/>
    <n v="24"/>
    <n v="40"/>
    <n v="4"/>
  </r>
  <r>
    <m/>
    <x v="14"/>
    <s v="A-493-0335"/>
    <s v="09ND"/>
    <x v="0"/>
    <d v="2025-07-07T00:00:00"/>
    <d v="2025-07-10T00:00:00"/>
    <m/>
    <d v="1899-12-30T12:00:00"/>
    <d v="1899-12-30T09:00:00"/>
    <d v="1899-12-30T19:00:00"/>
    <d v="1899-12-30T18:00:00"/>
    <d v="1899-12-30T06:00:00"/>
    <d v="1899-12-30T01:00:00"/>
    <s v="A. Harris"/>
    <m/>
    <m/>
    <n v="45"/>
    <n v="32"/>
    <n v="4"/>
    <m/>
    <n v="0"/>
    <m/>
    <m/>
    <m/>
    <m/>
    <m/>
    <m/>
    <m/>
    <n v="78"/>
    <n v="1"/>
    <n v="1"/>
    <n v="1"/>
    <n v="0"/>
    <n v="32"/>
    <n v="42"/>
    <n v="4"/>
  </r>
  <r>
    <m/>
    <x v="16"/>
    <s v="A-493-0072"/>
    <s v="713U"/>
    <x v="8"/>
    <d v="2025-07-07T00:00:00"/>
    <d v="2025-07-11T00:00:00"/>
    <d v="1899-12-30T08:00:00"/>
    <m/>
    <m/>
    <m/>
    <m/>
    <m/>
    <m/>
    <s v="W. Mitchell"/>
    <s v="LTJG Bozenski"/>
    <m/>
    <n v="30"/>
    <n v="40"/>
    <n v="5"/>
    <m/>
    <n v="0"/>
    <m/>
    <m/>
    <m/>
    <m/>
    <m/>
    <m/>
    <m/>
    <n v="79"/>
    <n v="1"/>
    <n v="1"/>
    <n v="1"/>
    <n v="1"/>
    <n v="20"/>
    <n v="14"/>
    <n v="4"/>
  </r>
  <r>
    <m/>
    <x v="27"/>
    <s v="A-493-2300"/>
    <s v="993F"/>
    <x v="14"/>
    <d v="2025-07-07T00:00:00"/>
    <d v="2025-07-08T00:00:00"/>
    <d v="1899-12-30T08:00:00"/>
    <m/>
    <m/>
    <m/>
    <m/>
    <m/>
    <m/>
    <s v="ENV Contractor"/>
    <m/>
    <m/>
    <n v="30"/>
    <n v="16"/>
    <n v="2"/>
    <n v="25"/>
    <m/>
    <m/>
    <m/>
    <m/>
    <m/>
    <m/>
    <m/>
    <m/>
    <n v="76"/>
    <n v="1"/>
    <n v="1"/>
    <n v="1"/>
    <n v="0"/>
    <n v="16"/>
    <n v="30"/>
    <n v="4"/>
  </r>
  <r>
    <m/>
    <x v="38"/>
    <s v="A-493-2301"/>
    <s v="05ZD"/>
    <x v="6"/>
    <d v="2025-07-07T00:00:00"/>
    <d v="2025-07-07T00:00:00"/>
    <d v="1899-12-30T08:00:00"/>
    <m/>
    <m/>
    <m/>
    <m/>
    <m/>
    <m/>
    <s v="ENV Contractor"/>
    <m/>
    <m/>
    <n v="30"/>
    <n v="8"/>
    <n v="1"/>
    <n v="33"/>
    <m/>
    <m/>
    <m/>
    <m/>
    <m/>
    <m/>
    <m/>
    <m/>
    <n v="75"/>
    <n v="1"/>
    <n v="1"/>
    <n v="1"/>
    <n v="0"/>
    <n v="8"/>
    <n v="30"/>
    <n v="4"/>
  </r>
  <r>
    <m/>
    <x v="1"/>
    <s v="A-570-0100"/>
    <s v="18B7"/>
    <x v="0"/>
    <d v="2025-07-07T00:00:00"/>
    <d v="2025-07-08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m/>
    <m/>
    <m/>
    <m/>
    <m/>
    <m/>
    <m/>
    <m/>
    <m/>
    <n v="76"/>
    <n v="1"/>
    <n v="1"/>
    <n v="1"/>
    <n v="0"/>
    <n v="16"/>
    <n v="42"/>
    <n v="4"/>
  </r>
  <r>
    <s v="NSA Annapolis"/>
    <x v="24"/>
    <s v="A-493-0013"/>
    <n v="3683"/>
    <x v="6"/>
    <d v="2025-07-08T00:00:00"/>
    <d v="2025-07-10T00:00:00"/>
    <d v="1899-12-30T08:00:00"/>
    <m/>
    <m/>
    <m/>
    <m/>
    <m/>
    <m/>
    <s v="G. Jester"/>
    <m/>
    <m/>
    <n v="40"/>
    <n v="24"/>
    <n v="3"/>
    <n v="0"/>
    <m/>
    <m/>
    <m/>
    <m/>
    <m/>
    <m/>
    <m/>
    <m/>
    <n v="78"/>
    <n v="1"/>
    <n v="1"/>
    <n v="1"/>
    <n v="0"/>
    <n v="24"/>
    <n v="40"/>
    <n v="4"/>
  </r>
  <r>
    <m/>
    <x v="32"/>
    <s v="A-493-0099"/>
    <s v="12JW"/>
    <x v="0"/>
    <d v="2025-07-08T00:00:00"/>
    <d v="2025-07-10T00:00:00"/>
    <m/>
    <d v="1899-12-30T08:00:00"/>
    <d v="1899-12-30T05:00:00"/>
    <d v="1899-12-30T15:00:00"/>
    <d v="1899-12-30T13:00:00"/>
    <d v="1899-12-30T02:00:00"/>
    <d v="1899-12-30T21:00:00"/>
    <s v="V. Kentish"/>
    <m/>
    <m/>
    <n v="45"/>
    <n v="24"/>
    <n v="3"/>
    <m/>
    <m/>
    <m/>
    <m/>
    <m/>
    <m/>
    <m/>
    <m/>
    <m/>
    <n v="78"/>
    <n v="1"/>
    <n v="1"/>
    <n v="1"/>
    <n v="0"/>
    <n v="24"/>
    <n v="40"/>
    <n v="4"/>
  </r>
  <r>
    <m/>
    <x v="33"/>
    <s v="A-493-0075 "/>
    <s v="714U"/>
    <x v="4"/>
    <d v="2025-07-08T00:00:00"/>
    <d v="2025-07-11T00:00:00"/>
    <d v="1899-12-30T08:00:00"/>
    <m/>
    <m/>
    <m/>
    <m/>
    <m/>
    <m/>
    <s v="SOH Contractor"/>
    <m/>
    <m/>
    <n v="30"/>
    <n v="32"/>
    <n v="4"/>
    <n v="61"/>
    <m/>
    <m/>
    <m/>
    <m/>
    <m/>
    <m/>
    <m/>
    <m/>
    <n v="79"/>
    <n v="1"/>
    <n v="1"/>
    <n v="1"/>
    <n v="0"/>
    <n v="32"/>
    <n v="21"/>
    <n v="4"/>
  </r>
  <r>
    <m/>
    <x v="22"/>
    <s v="A-493-2501"/>
    <s v="05ZE"/>
    <x v="6"/>
    <d v="2025-07-08T00:00:00"/>
    <d v="2025-07-08T00:00:00"/>
    <d v="1899-12-30T08:00:00"/>
    <m/>
    <m/>
    <m/>
    <m/>
    <m/>
    <m/>
    <s v="ENV Contractor"/>
    <m/>
    <m/>
    <n v="30"/>
    <n v="8"/>
    <n v="1"/>
    <n v="31"/>
    <m/>
    <m/>
    <m/>
    <m/>
    <m/>
    <m/>
    <m/>
    <m/>
    <n v="76"/>
    <n v="1"/>
    <n v="1"/>
    <n v="1"/>
    <n v="0"/>
    <n v="8"/>
    <n v="30"/>
    <n v="4"/>
  </r>
  <r>
    <m/>
    <x v="38"/>
    <s v="A-493-2301"/>
    <s v="05ZD"/>
    <x v="59"/>
    <d v="2025-07-09T00:00:00"/>
    <d v="2025-07-09T00:00:00"/>
    <d v="1899-12-30T08:00:00"/>
    <m/>
    <m/>
    <m/>
    <m/>
    <m/>
    <m/>
    <s v="ENV Contractor"/>
    <m/>
    <m/>
    <n v="30"/>
    <n v="8"/>
    <n v="1"/>
    <n v="38"/>
    <m/>
    <m/>
    <m/>
    <m/>
    <m/>
    <m/>
    <m/>
    <m/>
    <n v="77"/>
    <n v="1"/>
    <n v="1"/>
    <n v="1"/>
    <n v="0"/>
    <n v="8"/>
    <n v="30"/>
    <n v="4"/>
  </r>
  <r>
    <m/>
    <x v="22"/>
    <s v="A-493-2501"/>
    <s v="05ZE"/>
    <x v="14"/>
    <d v="2025-07-09T00:00:00"/>
    <d v="2025-07-09T00:00:00"/>
    <d v="1899-12-30T08:00:00"/>
    <m/>
    <m/>
    <m/>
    <m/>
    <m/>
    <m/>
    <s v="ENV Contractor"/>
    <m/>
    <m/>
    <n v="30"/>
    <n v="8"/>
    <n v="1"/>
    <n v="20"/>
    <m/>
    <m/>
    <m/>
    <m/>
    <m/>
    <m/>
    <m/>
    <m/>
    <n v="77"/>
    <n v="1"/>
    <n v="1"/>
    <n v="1"/>
    <n v="0"/>
    <n v="8"/>
    <n v="30"/>
    <n v="4"/>
  </r>
  <r>
    <m/>
    <x v="22"/>
    <s v="A-493-2501"/>
    <s v="05ZE"/>
    <x v="59"/>
    <d v="2025-07-10T00:00:00"/>
    <d v="2025-07-10T00:00:00"/>
    <d v="1899-12-30T08:00:00"/>
    <m/>
    <m/>
    <m/>
    <m/>
    <m/>
    <m/>
    <s v="ENV Contractor"/>
    <m/>
    <m/>
    <n v="30"/>
    <n v="8"/>
    <n v="1"/>
    <n v="36"/>
    <m/>
    <m/>
    <m/>
    <m/>
    <m/>
    <m/>
    <m/>
    <m/>
    <n v="78"/>
    <n v="1"/>
    <n v="1"/>
    <n v="1"/>
    <n v="0"/>
    <n v="8"/>
    <n v="30"/>
    <n v="4"/>
  </r>
  <r>
    <m/>
    <x v="30"/>
    <s v="A-493-0665"/>
    <s v="10KW"/>
    <x v="0"/>
    <d v="2025-07-14T00:00:00"/>
    <d v="2025-07-16T00:00:00"/>
    <m/>
    <d v="1899-12-30T12:00:00"/>
    <d v="1899-12-30T09:00:00"/>
    <d v="1899-12-30T19:00:00"/>
    <d v="1899-12-30T18:00:00"/>
    <d v="1899-12-30T06:00:00"/>
    <d v="1899-12-30T01:00:00"/>
    <s v="LSC Kitivi"/>
    <m/>
    <m/>
    <n v="45"/>
    <n v="24"/>
    <n v="3"/>
    <m/>
    <m/>
    <m/>
    <m/>
    <m/>
    <m/>
    <m/>
    <m/>
    <m/>
    <n v="84"/>
    <n v="1"/>
    <n v="1"/>
    <n v="1"/>
    <n v="0"/>
    <n v="24"/>
    <n v="44"/>
    <n v="4"/>
  </r>
  <r>
    <m/>
    <x v="36"/>
    <s v="A-493-0077"/>
    <s v="0381"/>
    <x v="15"/>
    <d v="2025-07-14T00:00:00"/>
    <d v="2025-07-16T00:00:00"/>
    <d v="1899-12-30T08:00:00"/>
    <m/>
    <m/>
    <m/>
    <m/>
    <m/>
    <m/>
    <s v="ENV Contractor"/>
    <m/>
    <m/>
    <n v="25"/>
    <n v="24"/>
    <n v="3"/>
    <n v="44"/>
    <m/>
    <m/>
    <m/>
    <m/>
    <m/>
    <m/>
    <m/>
    <m/>
    <n v="84"/>
    <n v="1"/>
    <n v="1"/>
    <n v="1"/>
    <n v="0"/>
    <n v="24"/>
    <n v="22"/>
    <n v="4"/>
  </r>
  <r>
    <m/>
    <x v="23"/>
    <s v="A-493-0014"/>
    <n v="3878"/>
    <x v="15"/>
    <d v="2025-07-14T00:00:00"/>
    <d v="2025-07-16T00:00:00"/>
    <d v="1899-12-30T08:00:00"/>
    <m/>
    <m/>
    <m/>
    <m/>
    <m/>
    <m/>
    <s v="B. Jung"/>
    <s v="A. Harris"/>
    <m/>
    <n v="25"/>
    <n v="24"/>
    <n v="3"/>
    <m/>
    <n v="0"/>
    <m/>
    <m/>
    <m/>
    <m/>
    <m/>
    <m/>
    <m/>
    <n v="84"/>
    <n v="1"/>
    <n v="1"/>
    <n v="1"/>
    <n v="1"/>
    <n v="12"/>
    <n v="14"/>
    <n v="4"/>
  </r>
  <r>
    <m/>
    <x v="34"/>
    <s v="A-493-0103"/>
    <s v="12JY"/>
    <x v="24"/>
    <d v="2025-07-14T00:00:00"/>
    <d v="2025-07-18T00:00:00"/>
    <d v="1899-12-30T08:00:00"/>
    <m/>
    <m/>
    <m/>
    <m/>
    <m/>
    <m/>
    <s v="SOH Contractor"/>
    <m/>
    <m/>
    <n v="25"/>
    <n v="40"/>
    <n v="5"/>
    <n v="48"/>
    <m/>
    <m/>
    <m/>
    <m/>
    <m/>
    <m/>
    <m/>
    <m/>
    <n v="86"/>
    <n v="1"/>
    <n v="1"/>
    <n v="1"/>
    <n v="0"/>
    <n v="40"/>
    <n v="20"/>
    <n v="4"/>
  </r>
  <r>
    <m/>
    <x v="19"/>
    <s v="A-493-0030"/>
    <s v="286X"/>
    <x v="0"/>
    <d v="2025-07-14T00:00:00"/>
    <d v="2025-07-18T00:00:00"/>
    <m/>
    <d v="1899-12-30T08:00:00"/>
    <d v="1899-12-30T05:00:00"/>
    <d v="1899-12-30T15:00:00"/>
    <d v="1899-12-30T13:00:00"/>
    <d v="1899-12-30T02:00:00"/>
    <d v="1899-12-30T21:00:00"/>
    <s v="OH Contractor"/>
    <m/>
    <m/>
    <n v="25"/>
    <n v="40"/>
    <n v="5"/>
    <n v="0"/>
    <n v="0"/>
    <m/>
    <m/>
    <m/>
    <m/>
    <m/>
    <m/>
    <m/>
    <n v="86"/>
    <n v="1"/>
    <n v="1"/>
    <n v="1"/>
    <n v="0"/>
    <n v="40"/>
    <n v="11"/>
    <n v="4"/>
  </r>
  <r>
    <m/>
    <x v="20"/>
    <s v="A-493-0061"/>
    <s v="288E"/>
    <x v="0"/>
    <d v="2025-07-14T00:00:00"/>
    <d v="2025-07-17T00:00:00"/>
    <m/>
    <d v="1899-12-30T12:00:00"/>
    <d v="1899-12-30T09:00:00"/>
    <d v="1899-12-30T19:00:00"/>
    <d v="1899-12-30T18:00:00"/>
    <d v="1899-12-30T06:00:00"/>
    <d v="1899-12-30T01:00:00"/>
    <s v="S. Griffin"/>
    <m/>
    <m/>
    <n v="45"/>
    <n v="30"/>
    <n v="4"/>
    <m/>
    <m/>
    <m/>
    <m/>
    <m/>
    <m/>
    <m/>
    <m/>
    <m/>
    <n v="85"/>
    <n v="1"/>
    <n v="1"/>
    <n v="1"/>
    <n v="0"/>
    <n v="30"/>
    <n v="43"/>
    <n v="4"/>
  </r>
  <r>
    <s v="Seabees Port Hueneme special conveing"/>
    <x v="4"/>
    <s v="A-493-0550"/>
    <s v="09K5"/>
    <x v="0"/>
    <d v="2025-07-14T00:00:00"/>
    <d v="2025-07-15T00:00:00"/>
    <m/>
    <d v="1899-12-30T08:00:00"/>
    <d v="1899-12-30T05:00:00"/>
    <d v="1899-12-30T15:00:00"/>
    <d v="1899-12-30T13:00:00"/>
    <d v="1899-12-30T02:00:00"/>
    <d v="1899-12-30T21:00:00"/>
    <s v="A. DeCastro"/>
    <m/>
    <m/>
    <n v="45"/>
    <n v="32"/>
    <n v="4"/>
    <m/>
    <m/>
    <m/>
    <m/>
    <m/>
    <m/>
    <m/>
    <m/>
    <m/>
    <n v="83"/>
    <n v="1"/>
    <n v="1"/>
    <n v="1"/>
    <n v="0"/>
    <n v="32"/>
    <n v="0"/>
    <n v="4"/>
  </r>
  <r>
    <m/>
    <x v="3"/>
    <s v="A-493-0078"/>
    <n v="1228"/>
    <x v="0"/>
    <d v="2025-07-14T00:00:00"/>
    <d v="2025-07-17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m/>
    <m/>
    <m/>
    <m/>
    <m/>
    <m/>
    <m/>
    <m/>
    <m/>
    <n v="85"/>
    <n v="1"/>
    <n v="1"/>
    <n v="1"/>
    <n v="0"/>
    <n v="32"/>
    <n v="43"/>
    <n v="4"/>
  </r>
  <r>
    <m/>
    <x v="16"/>
    <s v="A-493-0072"/>
    <s v="713U"/>
    <x v="5"/>
    <d v="2025-07-14T00:00:00"/>
    <d v="2025-07-18T00:00:00"/>
    <d v="1899-12-30T08:00:00"/>
    <m/>
    <m/>
    <m/>
    <m/>
    <m/>
    <m/>
    <s v="W. Mitchell"/>
    <m/>
    <m/>
    <n v="30"/>
    <n v="40"/>
    <n v="5"/>
    <m/>
    <n v="0"/>
    <m/>
    <m/>
    <m/>
    <m/>
    <m/>
    <m/>
    <m/>
    <n v="86"/>
    <n v="1"/>
    <n v="1"/>
    <n v="1"/>
    <n v="0"/>
    <n v="40"/>
    <n v="29"/>
    <n v="4"/>
  </r>
  <r>
    <m/>
    <x v="2"/>
    <s v="A-493-2098"/>
    <s v="09WW"/>
    <x v="0"/>
    <d v="2025-07-14T00:00:00"/>
    <d v="2025-07-16T00:00:00"/>
    <m/>
    <d v="1899-12-30T19:00:00"/>
    <d v="1899-12-30T16:00:00"/>
    <d v="1899-12-30T02:00:00"/>
    <d v="1899-12-30T00:00:00"/>
    <d v="1899-12-30T13:00:00"/>
    <d v="1899-12-30T08:00:00"/>
    <s v="EMC Stroughn"/>
    <m/>
    <m/>
    <n v="100"/>
    <n v="16"/>
    <n v="2"/>
    <m/>
    <m/>
    <m/>
    <m/>
    <m/>
    <m/>
    <m/>
    <m/>
    <m/>
    <n v="84"/>
    <n v="1"/>
    <n v="1"/>
    <n v="1"/>
    <n v="0"/>
    <n v="16"/>
    <n v="38"/>
    <n v="4"/>
  </r>
  <r>
    <s v="USMC Special Convening"/>
    <x v="39"/>
    <s v="A-493-2017"/>
    <s v="12x3"/>
    <x v="7"/>
    <d v="2025-07-14T00:00:00"/>
    <d v="2025-07-18T00:00:00"/>
    <d v="1899-12-30T08:00:00"/>
    <m/>
    <m/>
    <m/>
    <m/>
    <m/>
    <m/>
    <s v="ENV Contractor"/>
    <m/>
    <m/>
    <n v="25"/>
    <n v="40"/>
    <n v="5"/>
    <n v="1"/>
    <m/>
    <m/>
    <m/>
    <m/>
    <m/>
    <m/>
    <m/>
    <m/>
    <n v="86"/>
    <n v="1"/>
    <n v="1"/>
    <n v="1"/>
    <n v="0"/>
    <n v="40"/>
    <n v="22"/>
    <n v="4"/>
  </r>
  <r>
    <m/>
    <x v="24"/>
    <s v="A-493-0013"/>
    <n v="3683"/>
    <x v="59"/>
    <d v="2025-07-15T00:00:00"/>
    <d v="2025-07-17T00:00:00"/>
    <d v="1899-12-30T08:00:00"/>
    <m/>
    <m/>
    <m/>
    <m/>
    <m/>
    <m/>
    <s v="R. Hartel"/>
    <m/>
    <m/>
    <n v="40"/>
    <n v="24"/>
    <n v="3"/>
    <n v="30"/>
    <m/>
    <m/>
    <m/>
    <m/>
    <m/>
    <m/>
    <m/>
    <m/>
    <n v="85"/>
    <n v="1"/>
    <n v="1"/>
    <n v="1"/>
    <n v="0"/>
    <n v="24"/>
    <n v="40"/>
    <n v="4"/>
  </r>
  <r>
    <s v="NSA Gaeta"/>
    <x v="24"/>
    <s v="A-493-0013"/>
    <n v="3683"/>
    <x v="60"/>
    <d v="2025-07-15T00:00:00"/>
    <d v="2025-07-17T00:00:00"/>
    <d v="1899-12-30T08:00:00"/>
    <m/>
    <m/>
    <m/>
    <m/>
    <m/>
    <m/>
    <s v="G. Jester"/>
    <m/>
    <m/>
    <n v="40"/>
    <n v="24"/>
    <n v="3"/>
    <n v="4"/>
    <m/>
    <m/>
    <m/>
    <m/>
    <m/>
    <m/>
    <m/>
    <m/>
    <n v="85"/>
    <n v="1"/>
    <n v="1"/>
    <n v="1"/>
    <n v="0"/>
    <n v="24"/>
    <n v="40"/>
    <n v="4"/>
  </r>
  <r>
    <m/>
    <x v="13"/>
    <s v="A-493-0331"/>
    <s v="10UG"/>
    <x v="0"/>
    <d v="2025-07-15T00:00:00"/>
    <d v="2025-07-17T00:00:00"/>
    <m/>
    <d v="1899-12-30T12:00:00"/>
    <d v="1899-12-30T09:00:00"/>
    <d v="1899-12-30T19:00:00"/>
    <d v="1899-12-30T18:00:00"/>
    <d v="1899-12-30T06:00:00"/>
    <d v="1899-12-30T01:00:00"/>
    <s v="A.Hardy"/>
    <m/>
    <m/>
    <n v="45"/>
    <n v="24"/>
    <n v="3"/>
    <m/>
    <n v="0"/>
    <n v="0"/>
    <m/>
    <m/>
    <m/>
    <m/>
    <m/>
    <m/>
    <n v="85"/>
    <n v="1"/>
    <n v="1"/>
    <n v="1"/>
    <n v="0"/>
    <n v="24"/>
    <n v="35"/>
    <n v="4"/>
  </r>
  <r>
    <m/>
    <x v="21"/>
    <s v="A-493-0083"/>
    <s v="339E"/>
    <x v="15"/>
    <d v="2025-07-17T00:00:00"/>
    <d v="2025-07-17T00:00:00"/>
    <d v="1899-12-30T08:00:00"/>
    <m/>
    <m/>
    <m/>
    <m/>
    <m/>
    <m/>
    <s v="ENV Contractor"/>
    <m/>
    <m/>
    <n v="30"/>
    <n v="8"/>
    <n v="1"/>
    <n v="143"/>
    <m/>
    <m/>
    <m/>
    <m/>
    <m/>
    <m/>
    <m/>
    <m/>
    <n v="85"/>
    <n v="1"/>
    <n v="1"/>
    <n v="1"/>
    <n v="0"/>
    <n v="8"/>
    <n v="23"/>
    <n v="4"/>
  </r>
  <r>
    <m/>
    <x v="25"/>
    <s v="A-493-0019"/>
    <n v="3882"/>
    <x v="15"/>
    <d v="2025-07-17T00:00:00"/>
    <d v="2025-07-18T00:00:00"/>
    <d v="1899-12-30T08:00:00"/>
    <m/>
    <m/>
    <m/>
    <m/>
    <m/>
    <m/>
    <s v="B. Jung"/>
    <s v="A. Harris"/>
    <m/>
    <n v="25"/>
    <n v="16"/>
    <n v="2"/>
    <m/>
    <n v="0"/>
    <m/>
    <m/>
    <m/>
    <m/>
    <m/>
    <m/>
    <m/>
    <n v="86"/>
    <n v="1"/>
    <n v="1"/>
    <n v="1"/>
    <n v="1"/>
    <n v="8"/>
    <n v="18"/>
    <n v="4"/>
  </r>
  <r>
    <s v="NSA Souda Bay"/>
    <x v="9"/>
    <s v="A-493-0012"/>
    <n v="3682"/>
    <x v="54"/>
    <d v="2025-07-21T00:00:00"/>
    <d v="2025-07-25T00:00:00"/>
    <d v="1899-12-30T08:00:00"/>
    <m/>
    <m/>
    <m/>
    <m/>
    <m/>
    <m/>
    <s v="R. Hartel"/>
    <m/>
    <m/>
    <n v="40"/>
    <n v="40"/>
    <n v="5"/>
    <n v="0"/>
    <m/>
    <m/>
    <m/>
    <m/>
    <m/>
    <m/>
    <m/>
    <m/>
    <n v="93"/>
    <n v="1"/>
    <n v="1"/>
    <n v="1"/>
    <n v="0"/>
    <n v="40"/>
    <n v="27"/>
    <n v="4"/>
  </r>
  <r>
    <m/>
    <x v="36"/>
    <s v="A-493-0077"/>
    <s v="0381"/>
    <x v="41"/>
    <d v="2025-07-21T00:00:00"/>
    <d v="2025-07-23T00:00:00"/>
    <d v="1899-12-30T08:00:00"/>
    <m/>
    <m/>
    <m/>
    <m/>
    <m/>
    <m/>
    <s v="ENV Contractor"/>
    <m/>
    <m/>
    <n v="25"/>
    <n v="24"/>
    <n v="3"/>
    <n v="22"/>
    <m/>
    <m/>
    <m/>
    <m/>
    <m/>
    <m/>
    <m/>
    <m/>
    <n v="91"/>
    <n v="1"/>
    <n v="1"/>
    <n v="1"/>
    <n v="0"/>
    <n v="24"/>
    <n v="20"/>
    <n v="4"/>
  </r>
  <r>
    <m/>
    <x v="11"/>
    <s v="A-493-0070"/>
    <s v="450V"/>
    <x v="15"/>
    <d v="2025-07-21T00:00:00"/>
    <d v="2025-07-21T00:00:00"/>
    <d v="1899-12-30T08:00:00"/>
    <m/>
    <m/>
    <m/>
    <m/>
    <m/>
    <m/>
    <s v="B. Jung"/>
    <s v="A. Harris"/>
    <m/>
    <n v="30"/>
    <n v="8"/>
    <n v="1"/>
    <m/>
    <n v="0"/>
    <m/>
    <m/>
    <m/>
    <m/>
    <m/>
    <m/>
    <m/>
    <n v="89"/>
    <n v="1"/>
    <n v="1"/>
    <n v="1"/>
    <n v="1"/>
    <n v="4"/>
    <n v="30"/>
    <n v="4"/>
  </r>
  <r>
    <m/>
    <x v="17"/>
    <s v="A-760-2166"/>
    <s v="438J"/>
    <x v="15"/>
    <d v="2025-07-21T00:00:00"/>
    <d v="2025-07-22T00:00:00"/>
    <d v="1899-12-30T08:00:00"/>
    <m/>
    <m/>
    <m/>
    <m/>
    <m/>
    <m/>
    <s v="B. Jung"/>
    <s v="A. Harris"/>
    <m/>
    <n v="25"/>
    <n v="16"/>
    <n v="2"/>
    <m/>
    <n v="0"/>
    <m/>
    <m/>
    <m/>
    <m/>
    <m/>
    <m/>
    <m/>
    <n v="90"/>
    <n v="1"/>
    <n v="1"/>
    <n v="1"/>
    <n v="1"/>
    <n v="8"/>
    <n v="25"/>
    <n v="4"/>
  </r>
  <r>
    <m/>
    <x v="14"/>
    <s v="A-493-0335"/>
    <s v="09ND"/>
    <x v="0"/>
    <d v="2025-07-21T00:00:00"/>
    <d v="2025-07-24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m/>
    <n v="0"/>
    <m/>
    <m/>
    <m/>
    <m/>
    <m/>
    <m/>
    <m/>
    <n v="92"/>
    <n v="1"/>
    <n v="1"/>
    <n v="1"/>
    <n v="0"/>
    <n v="32"/>
    <n v="44"/>
    <n v="4"/>
  </r>
  <r>
    <m/>
    <x v="4"/>
    <s v="A-493-0550"/>
    <s v="09K5"/>
    <x v="0"/>
    <d v="2025-07-21T00:00:00"/>
    <d v="2025-07-24T00:00:00"/>
    <m/>
    <d v="1899-12-30T11:00:00"/>
    <d v="1899-12-30T08:00:00"/>
    <d v="1899-12-30T18:00:00"/>
    <d v="1899-12-30T16:00:00"/>
    <d v="1899-12-30T05:00:00"/>
    <d v="1899-12-30T00:00:00"/>
    <s v="A. DeCastro"/>
    <m/>
    <m/>
    <n v="45"/>
    <n v="32"/>
    <n v="4"/>
    <m/>
    <m/>
    <m/>
    <m/>
    <m/>
    <m/>
    <m/>
    <m/>
    <m/>
    <n v="92"/>
    <n v="1"/>
    <n v="1"/>
    <n v="1"/>
    <n v="0"/>
    <n v="32"/>
    <n v="40"/>
    <n v="4"/>
  </r>
  <r>
    <m/>
    <x v="5"/>
    <s v="A-493-0073"/>
    <s v="714S"/>
    <x v="0"/>
    <d v="2025-07-21T00:00:00"/>
    <d v="2025-07-24T00:00:00"/>
    <m/>
    <d v="1899-12-30T14:00:00"/>
    <d v="1899-12-30T11:00:00"/>
    <d v="1899-12-30T21:00:00"/>
    <d v="1899-12-30T19:00:00"/>
    <d v="1899-12-30T08:00:00"/>
    <d v="1899-12-30T03:00:00"/>
    <s v="SOH Contractor"/>
    <m/>
    <m/>
    <n v="30"/>
    <n v="32"/>
    <n v="4"/>
    <n v="194"/>
    <m/>
    <m/>
    <m/>
    <m/>
    <m/>
    <m/>
    <m/>
    <m/>
    <n v="92"/>
    <n v="1"/>
    <n v="1"/>
    <n v="1"/>
    <n v="0"/>
    <n v="32"/>
    <n v="28"/>
    <n v="4"/>
  </r>
  <r>
    <m/>
    <x v="26"/>
    <s v="A-4J-0022"/>
    <s v="09ER"/>
    <x v="0"/>
    <d v="2025-07-22T00:00:00"/>
    <d v="2025-07-23T00:00:00"/>
    <m/>
    <d v="1899-12-30T12:00:00"/>
    <d v="1899-12-30T09:00:00"/>
    <d v="1899-12-30T19:00:00"/>
    <d v="1899-12-30T18:00:00"/>
    <d v="1899-12-30T06:00:00"/>
    <d v="1899-12-30T01:00:00"/>
    <s v="K. Seo"/>
    <m/>
    <m/>
    <n v="45"/>
    <n v="16"/>
    <n v="2"/>
    <m/>
    <m/>
    <m/>
    <m/>
    <m/>
    <m/>
    <m/>
    <m/>
    <m/>
    <n v="91"/>
    <n v="1"/>
    <n v="1"/>
    <n v="1"/>
    <n v="0"/>
    <n v="16"/>
    <n v="43"/>
    <n v="4"/>
  </r>
  <r>
    <m/>
    <x v="24"/>
    <s v="A-493-0013"/>
    <n v="3683"/>
    <x v="1"/>
    <d v="2025-07-22T00:00:00"/>
    <d v="2025-07-24T00:00:00"/>
    <d v="1899-12-30T08:00:00"/>
    <m/>
    <m/>
    <m/>
    <m/>
    <m/>
    <m/>
    <s v="G. Jester"/>
    <m/>
    <m/>
    <n v="40"/>
    <n v="24"/>
    <n v="3"/>
    <n v="43"/>
    <m/>
    <m/>
    <m/>
    <m/>
    <m/>
    <m/>
    <m/>
    <m/>
    <n v="92"/>
    <n v="1"/>
    <n v="1"/>
    <n v="1"/>
    <n v="0"/>
    <n v="24"/>
    <n v="40"/>
    <n v="4"/>
  </r>
  <r>
    <m/>
    <x v="37"/>
    <s v="A-493-0015"/>
    <n v="3879"/>
    <x v="15"/>
    <d v="2025-07-22T00:00:00"/>
    <d v="2025-07-22T00:00:00"/>
    <d v="1899-12-30T08:00:00"/>
    <m/>
    <m/>
    <m/>
    <m/>
    <m/>
    <m/>
    <s v="B. Jung"/>
    <s v="A. Harris"/>
    <m/>
    <n v="30"/>
    <n v="4"/>
    <n v="0.5"/>
    <m/>
    <n v="0"/>
    <m/>
    <m/>
    <m/>
    <m/>
    <m/>
    <m/>
    <m/>
    <n v="90"/>
    <n v="1"/>
    <n v="1"/>
    <n v="1"/>
    <n v="1"/>
    <n v="2"/>
    <n v="20"/>
    <n v="4"/>
  </r>
  <r>
    <m/>
    <x v="15"/>
    <s v="A-493-0020"/>
    <n v="3888"/>
    <x v="15"/>
    <d v="2025-07-22T00:00:00"/>
    <d v="2025-07-22T00:00:00"/>
    <d v="1903-04-14T12:00:00"/>
    <m/>
    <m/>
    <m/>
    <m/>
    <m/>
    <m/>
    <s v="B. Jung"/>
    <s v="A. Harris"/>
    <m/>
    <n v="30"/>
    <n v="4"/>
    <n v="0.5"/>
    <m/>
    <n v="0"/>
    <m/>
    <m/>
    <m/>
    <m/>
    <m/>
    <m/>
    <m/>
    <n v="90"/>
    <n v="1"/>
    <n v="1"/>
    <n v="1"/>
    <n v="1"/>
    <n v="2"/>
    <n v="12"/>
    <n v="4"/>
  </r>
  <r>
    <m/>
    <x v="32"/>
    <s v="A-493-0099"/>
    <s v="12JW"/>
    <x v="0"/>
    <d v="2025-07-22T00:00:00"/>
    <d v="2025-07-24T00:00:00"/>
    <m/>
    <d v="1899-12-30T12:00:00"/>
    <d v="1899-12-30T09:00:00"/>
    <d v="1899-12-30T19:00:00"/>
    <d v="1899-12-30T18:00:00"/>
    <d v="1899-12-30T06:00:00"/>
    <d v="1899-12-30T01:00:00"/>
    <s v="V. Kentish"/>
    <m/>
    <m/>
    <n v="45"/>
    <n v="24"/>
    <n v="3"/>
    <m/>
    <m/>
    <m/>
    <m/>
    <m/>
    <m/>
    <m/>
    <m/>
    <m/>
    <n v="92"/>
    <n v="1"/>
    <n v="1"/>
    <n v="1"/>
    <n v="0"/>
    <n v="24"/>
    <n v="45"/>
    <n v="4"/>
  </r>
  <r>
    <m/>
    <x v="28"/>
    <s v="A-493-0092"/>
    <n v="5891"/>
    <x v="15"/>
    <d v="2025-07-23T00:00:00"/>
    <d v="2025-07-25T00:00:00"/>
    <d v="1899-12-30T08:00:00"/>
    <m/>
    <m/>
    <m/>
    <m/>
    <m/>
    <m/>
    <s v="B. Jung"/>
    <s v="A. Harris"/>
    <m/>
    <n v="25"/>
    <n v="24"/>
    <n v="3"/>
    <m/>
    <n v="0"/>
    <m/>
    <m/>
    <m/>
    <m/>
    <m/>
    <m/>
    <m/>
    <n v="93"/>
    <n v="1"/>
    <n v="1"/>
    <n v="1"/>
    <n v="1"/>
    <n v="12"/>
    <n v="22"/>
    <n v="4"/>
  </r>
  <r>
    <m/>
    <x v="21"/>
    <s v="A-493-0083"/>
    <s v="339E"/>
    <x v="41"/>
    <d v="2025-07-24T00:00:00"/>
    <d v="2025-07-24T00:00:00"/>
    <d v="1899-12-30T08:00:00"/>
    <m/>
    <m/>
    <m/>
    <m/>
    <m/>
    <m/>
    <s v="ENV Contractor"/>
    <m/>
    <m/>
    <n v="30"/>
    <n v="8"/>
    <n v="1"/>
    <n v="84"/>
    <m/>
    <m/>
    <m/>
    <m/>
    <m/>
    <m/>
    <m/>
    <m/>
    <n v="92"/>
    <n v="1"/>
    <n v="1"/>
    <n v="1"/>
    <n v="0"/>
    <n v="8"/>
    <n v="14"/>
    <n v="4"/>
  </r>
  <r>
    <m/>
    <x v="34"/>
    <s v="A-493-0103"/>
    <s v="12JY"/>
    <x v="1"/>
    <d v="2025-07-28T00:00:00"/>
    <d v="2025-08-01T00:00:00"/>
    <d v="1899-12-30T08:00:00"/>
    <m/>
    <m/>
    <m/>
    <m/>
    <m/>
    <m/>
    <s v="SOH Contractor"/>
    <m/>
    <m/>
    <n v="25"/>
    <n v="40"/>
    <n v="5"/>
    <n v="332"/>
    <m/>
    <m/>
    <m/>
    <m/>
    <m/>
    <m/>
    <m/>
    <m/>
    <n v="100"/>
    <n v="1"/>
    <n v="1"/>
    <n v="1"/>
    <n v="0"/>
    <n v="40"/>
    <n v="5"/>
    <n v="4"/>
  </r>
  <r>
    <m/>
    <x v="34"/>
    <s v="A-493-0103"/>
    <s v="12JY"/>
    <x v="14"/>
    <d v="2025-07-28T00:00:00"/>
    <d v="2025-08-01T00:00:00"/>
    <d v="1899-12-30T08:00:00"/>
    <m/>
    <m/>
    <m/>
    <m/>
    <m/>
    <m/>
    <s v="SOH Contractor"/>
    <m/>
    <m/>
    <n v="25"/>
    <n v="40"/>
    <n v="5"/>
    <n v="125"/>
    <m/>
    <m/>
    <m/>
    <m/>
    <m/>
    <m/>
    <m/>
    <m/>
    <n v="100"/>
    <n v="1"/>
    <n v="1"/>
    <n v="1"/>
    <n v="0"/>
    <n v="40"/>
    <n v="21"/>
    <n v="4"/>
  </r>
  <r>
    <s v="Seabees Port Hueneme special conveing"/>
    <x v="41"/>
    <s v="A-493-0021"/>
    <s v="18BN"/>
    <x v="61"/>
    <d v="2025-07-28T00:00:00"/>
    <d v="2025-08-01T00:00:00"/>
    <d v="1899-12-30T08:00:00"/>
    <m/>
    <m/>
    <m/>
    <m/>
    <m/>
    <m/>
    <s v="SOH Contractor"/>
    <m/>
    <m/>
    <n v="35"/>
    <n v="30"/>
    <n v="5"/>
    <n v="28"/>
    <m/>
    <m/>
    <m/>
    <m/>
    <m/>
    <m/>
    <m/>
    <m/>
    <n v="100"/>
    <n v="1"/>
    <n v="1"/>
    <n v="1"/>
    <n v="0"/>
    <n v="30"/>
    <n v="35"/>
    <n v="4"/>
  </r>
  <r>
    <m/>
    <x v="0"/>
    <s v="A-322-2604"/>
    <s v="10ZZ"/>
    <x v="0"/>
    <d v="2025-07-28T00:00:00"/>
    <d v="2025-07-30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m/>
    <n v="0"/>
    <m/>
    <m/>
    <m/>
    <m/>
    <m/>
    <m/>
    <m/>
    <n v="98"/>
    <n v="1"/>
    <n v="1"/>
    <n v="1"/>
    <n v="0"/>
    <n v="24"/>
    <n v="42"/>
    <n v="4"/>
  </r>
  <r>
    <m/>
    <x v="3"/>
    <s v="A-493-0078"/>
    <n v="1228"/>
    <x v="0"/>
    <d v="2025-07-28T00:00:00"/>
    <d v="2025-07-31T00:00:00"/>
    <m/>
    <d v="1899-12-30T11:00:00"/>
    <d v="1899-12-30T08:00:00"/>
    <d v="1899-12-30T18:00:00"/>
    <d v="1899-12-30T16:00:00"/>
    <d v="1899-12-30T05:00:00"/>
    <d v="1899-12-30T00:00:00"/>
    <s v="T. White"/>
    <m/>
    <m/>
    <n v="45"/>
    <n v="32"/>
    <n v="4"/>
    <m/>
    <m/>
    <m/>
    <m/>
    <m/>
    <m/>
    <m/>
    <m/>
    <m/>
    <n v="99"/>
    <n v="1"/>
    <n v="1"/>
    <n v="1"/>
    <n v="0"/>
    <n v="32"/>
    <n v="42"/>
    <n v="4"/>
  </r>
  <r>
    <m/>
    <x v="6"/>
    <s v="A-493-0085"/>
    <n v="3555"/>
    <x v="0"/>
    <d v="2025-07-28T00:00:00"/>
    <d v="2025-07-31T00:00:00"/>
    <m/>
    <d v="1899-12-30T08:00:00"/>
    <d v="1899-12-30T05:00:00"/>
    <d v="1899-12-30T15:00:00"/>
    <d v="1899-12-30T13:00:00"/>
    <d v="1899-12-30T02:00:00"/>
    <d v="1899-12-30T21:00:00"/>
    <s v="B. Jung"/>
    <m/>
    <m/>
    <n v="45"/>
    <n v="32"/>
    <n v="4"/>
    <m/>
    <n v="0"/>
    <m/>
    <m/>
    <m/>
    <m/>
    <m/>
    <m/>
    <m/>
    <n v="99"/>
    <n v="1"/>
    <n v="1"/>
    <n v="1"/>
    <n v="0"/>
    <n v="32"/>
    <n v="39"/>
    <n v="4"/>
  </r>
  <r>
    <m/>
    <x v="1"/>
    <s v="A-570-0100"/>
    <s v="18B7"/>
    <x v="0"/>
    <d v="2025-07-28T00:00:00"/>
    <d v="2025-07-29T00:00:00"/>
    <m/>
    <d v="1899-12-30T19:00:00"/>
    <d v="1899-12-30T16:00:00"/>
    <d v="1899-12-30T02:00:00"/>
    <d v="1899-12-30T00:00:00"/>
    <d v="1899-12-30T13:00:00"/>
    <d v="1899-12-30T08:00:00"/>
    <s v="LS1 Scoggins"/>
    <m/>
    <m/>
    <n v="45"/>
    <n v="16"/>
    <n v="2"/>
    <m/>
    <m/>
    <m/>
    <m/>
    <m/>
    <m/>
    <m/>
    <m/>
    <m/>
    <n v="97"/>
    <n v="1"/>
    <n v="1"/>
    <n v="1"/>
    <n v="0"/>
    <n v="16"/>
    <n v="44"/>
    <n v="4"/>
  </r>
  <r>
    <m/>
    <x v="9"/>
    <s v="A-493-0012"/>
    <n v="3682"/>
    <x v="41"/>
    <d v="2025-08-04T00:00:00"/>
    <d v="2025-08-08T00:00:00"/>
    <d v="1899-12-30T08:00:00"/>
    <m/>
    <m/>
    <m/>
    <m/>
    <m/>
    <m/>
    <s v="R. Hartel"/>
    <m/>
    <m/>
    <n v="40"/>
    <n v="40"/>
    <n v="5"/>
    <n v="15"/>
    <m/>
    <m/>
    <m/>
    <m/>
    <m/>
    <m/>
    <m/>
    <m/>
    <n v="107"/>
    <n v="1"/>
    <n v="1"/>
    <n v="1"/>
    <n v="0"/>
    <n v="40"/>
    <n v="36"/>
    <n v="4"/>
  </r>
  <r>
    <m/>
    <x v="9"/>
    <s v="A-493-0012"/>
    <n v="3682"/>
    <x v="62"/>
    <d v="2025-08-04T00:00:00"/>
    <d v="2025-08-08T00:00:00"/>
    <d v="1899-12-30T08:00:00"/>
    <m/>
    <m/>
    <m/>
    <m/>
    <m/>
    <m/>
    <s v="G. Jester"/>
    <m/>
    <m/>
    <n v="40"/>
    <n v="40"/>
    <n v="5"/>
    <n v="60"/>
    <m/>
    <m/>
    <m/>
    <m/>
    <m/>
    <m/>
    <m/>
    <m/>
    <n v="107"/>
    <n v="1"/>
    <n v="1"/>
    <n v="1"/>
    <n v="0"/>
    <n v="40"/>
    <n v="40"/>
    <n v="4"/>
  </r>
  <r>
    <m/>
    <x v="36"/>
    <s v="A-493-0077"/>
    <s v="0381"/>
    <x v="4"/>
    <d v="2025-08-04T00:00:00"/>
    <d v="2025-08-06T00:00:00"/>
    <d v="1899-12-30T08:00:00"/>
    <m/>
    <m/>
    <m/>
    <m/>
    <m/>
    <m/>
    <s v="ENV Contractor"/>
    <m/>
    <m/>
    <n v="25"/>
    <n v="24"/>
    <n v="3"/>
    <n v="139"/>
    <m/>
    <m/>
    <m/>
    <m/>
    <m/>
    <m/>
    <m/>
    <m/>
    <n v="105"/>
    <n v="1"/>
    <n v="1"/>
    <n v="1"/>
    <n v="0"/>
    <n v="24"/>
    <n v="23"/>
    <n v="4"/>
  </r>
  <r>
    <s v="Pacific Time Zone Focused"/>
    <x v="21"/>
    <s v="A-493-0083"/>
    <s v="339E"/>
    <x v="0"/>
    <d v="2025-08-04T00:00:00"/>
    <d v="2025-08-04T00:00:00"/>
    <m/>
    <d v="1899-12-30T11:00:00"/>
    <d v="1899-12-30T08:00:00"/>
    <d v="1899-12-30T18:00:00"/>
    <d v="1899-12-30T16:00:00"/>
    <d v="1899-12-30T05:00:00"/>
    <d v="1899-12-30T00:00:00"/>
    <s v="ENV Contractor"/>
    <m/>
    <m/>
    <n v="30"/>
    <n v="8"/>
    <n v="1"/>
    <n v="0"/>
    <m/>
    <m/>
    <m/>
    <m/>
    <m/>
    <m/>
    <m/>
    <m/>
    <n v="103"/>
    <n v="1"/>
    <n v="1"/>
    <n v="1"/>
    <n v="0"/>
    <n v="8"/>
    <n v="27"/>
    <n v="4"/>
  </r>
  <r>
    <m/>
    <x v="19"/>
    <s v="A-493-0030"/>
    <s v="286X"/>
    <x v="0"/>
    <d v="2025-08-04T00:00:00"/>
    <d v="2025-08-08T00:00:00"/>
    <m/>
    <d v="1899-12-30T08:00:00"/>
    <d v="1899-12-30T05:00:00"/>
    <d v="1899-12-30T15:00:00"/>
    <d v="1899-12-30T13:00:00"/>
    <d v="1899-12-30T02:00:00"/>
    <d v="1899-12-30T21:00:00"/>
    <s v="OH Contractor"/>
    <m/>
    <m/>
    <n v="25"/>
    <n v="40"/>
    <n v="5"/>
    <n v="0"/>
    <n v="0"/>
    <m/>
    <m/>
    <m/>
    <m/>
    <m/>
    <m/>
    <m/>
    <n v="107"/>
    <n v="1"/>
    <n v="1"/>
    <n v="1"/>
    <n v="0"/>
    <n v="40"/>
    <n v="16"/>
    <n v="4"/>
  </r>
  <r>
    <m/>
    <x v="38"/>
    <s v="A-493-2301"/>
    <s v="05ZD"/>
    <x v="25"/>
    <d v="2025-08-04T00:00:00"/>
    <d v="2025-08-04T00:00:00"/>
    <d v="1899-12-30T08:00:00"/>
    <m/>
    <m/>
    <m/>
    <m/>
    <m/>
    <m/>
    <s v="ENV Contractor"/>
    <m/>
    <m/>
    <n v="30"/>
    <n v="8"/>
    <n v="1"/>
    <n v="35"/>
    <m/>
    <m/>
    <m/>
    <m/>
    <m/>
    <m/>
    <m/>
    <m/>
    <n v="103"/>
    <n v="1"/>
    <n v="1"/>
    <n v="1"/>
    <n v="0"/>
    <n v="8"/>
    <n v="30"/>
    <n v="4"/>
  </r>
  <r>
    <m/>
    <x v="20"/>
    <s v="A-493-0061"/>
    <s v="288E"/>
    <x v="0"/>
    <d v="2025-08-04T00:00:00"/>
    <d v="2025-08-05T00:00:00"/>
    <m/>
    <d v="1899-12-30T08:00:00"/>
    <d v="1899-12-30T05:00:00"/>
    <d v="1899-12-30T15:00:00"/>
    <d v="1899-12-30T13:00:00"/>
    <d v="1899-12-30T02:00:00"/>
    <d v="1899-12-30T21:00:00"/>
    <s v="S. Griffin"/>
    <m/>
    <m/>
    <n v="45"/>
    <n v="30"/>
    <n v="4"/>
    <m/>
    <m/>
    <m/>
    <m/>
    <m/>
    <m/>
    <m/>
    <m/>
    <m/>
    <n v="104"/>
    <n v="1"/>
    <n v="1"/>
    <n v="1"/>
    <n v="0"/>
    <n v="30"/>
    <n v="43"/>
    <n v="4"/>
  </r>
  <r>
    <m/>
    <x v="13"/>
    <s v="A-493-0331"/>
    <s v="10UG"/>
    <x v="0"/>
    <d v="2025-08-04T00:00:00"/>
    <d v="2025-08-06T00:00:00"/>
    <m/>
    <d v="1899-12-30T19:00:00"/>
    <d v="1899-12-30T16:00:00"/>
    <d v="1899-12-30T02:00:00"/>
    <d v="1899-12-30T00:00:00"/>
    <d v="1899-12-30T13:00:00"/>
    <d v="1899-12-30T08:00:00"/>
    <s v="LTJG Bozenski"/>
    <m/>
    <m/>
    <n v="45"/>
    <n v="24"/>
    <n v="3"/>
    <m/>
    <n v="0"/>
    <n v="0"/>
    <m/>
    <m/>
    <m/>
    <m/>
    <m/>
    <m/>
    <n v="105"/>
    <n v="1"/>
    <n v="1"/>
    <n v="1"/>
    <n v="0"/>
    <n v="24"/>
    <n v="43"/>
    <n v="4"/>
  </r>
  <r>
    <m/>
    <x v="4"/>
    <s v="A-493-0550"/>
    <s v="09K5"/>
    <x v="0"/>
    <d v="2025-08-04T00:00:00"/>
    <d v="2025-08-07T00:00:00"/>
    <m/>
    <d v="1899-12-30T12:00:00"/>
    <d v="1899-12-30T09:00:00"/>
    <d v="1899-12-30T19:00:00"/>
    <d v="1899-12-30T18:00:00"/>
    <d v="1899-12-30T06:00:00"/>
    <d v="1899-12-30T01:00:00"/>
    <s v="A. DeCastro"/>
    <m/>
    <m/>
    <n v="45"/>
    <n v="32"/>
    <n v="4"/>
    <m/>
    <m/>
    <m/>
    <m/>
    <m/>
    <m/>
    <m/>
    <m/>
    <m/>
    <n v="106"/>
    <n v="1"/>
    <n v="1"/>
    <n v="1"/>
    <n v="0"/>
    <n v="32"/>
    <n v="44"/>
    <n v="4"/>
  </r>
  <r>
    <m/>
    <x v="16"/>
    <s v="A-493-0072"/>
    <s v="713U"/>
    <x v="63"/>
    <d v="2025-08-04T00:00:00"/>
    <d v="2025-08-08T00:00:00"/>
    <d v="1899-12-30T08:00:00"/>
    <m/>
    <m/>
    <m/>
    <m/>
    <m/>
    <m/>
    <s v="K. Seo"/>
    <m/>
    <s v="LS1 Scoggins"/>
    <n v="30"/>
    <n v="40"/>
    <n v="5"/>
    <n v="32"/>
    <n v="0"/>
    <m/>
    <m/>
    <m/>
    <m/>
    <m/>
    <m/>
    <m/>
    <n v="107"/>
    <n v="1"/>
    <n v="1"/>
    <n v="1"/>
    <n v="0"/>
    <n v="40"/>
    <n v="26"/>
    <n v="4"/>
  </r>
  <r>
    <m/>
    <x v="2"/>
    <s v="A-493-2098"/>
    <s v="09WW"/>
    <x v="0"/>
    <d v="2025-08-04T00:00:00"/>
    <d v="2025-08-06T00:00:00"/>
    <m/>
    <d v="1899-12-30T08:00:00"/>
    <d v="1899-12-30T05:00:00"/>
    <d v="1899-12-30T15:00:00"/>
    <d v="1899-12-30T13:00:00"/>
    <d v="1899-12-30T02:00:00"/>
    <d v="1899-12-30T21:00:00"/>
    <s v="EMC Stroughn"/>
    <m/>
    <m/>
    <n v="100"/>
    <n v="16"/>
    <n v="2"/>
    <m/>
    <m/>
    <m/>
    <m/>
    <m/>
    <m/>
    <m/>
    <m/>
    <m/>
    <n v="105"/>
    <n v="1"/>
    <n v="1"/>
    <n v="1"/>
    <n v="0"/>
    <n v="16"/>
    <n v="93"/>
    <n v="4"/>
  </r>
  <r>
    <m/>
    <x v="26"/>
    <s v="A-4J-0022"/>
    <s v="09ER"/>
    <x v="0"/>
    <d v="2025-08-05T00:00:00"/>
    <d v="2025-08-06T00:00:00"/>
    <m/>
    <d v="1899-12-30T12:00:00"/>
    <d v="1899-12-30T09:00:00"/>
    <d v="1899-12-30T19:00:00"/>
    <d v="1899-12-30T18:00:00"/>
    <d v="1899-12-30T06:00:00"/>
    <d v="1899-12-30T01:00:00"/>
    <s v="K. Seo"/>
    <m/>
    <m/>
    <n v="45"/>
    <n v="16"/>
    <n v="2"/>
    <m/>
    <m/>
    <m/>
    <m/>
    <m/>
    <m/>
    <m/>
    <m/>
    <m/>
    <n v="105"/>
    <n v="1"/>
    <n v="1"/>
    <n v="1"/>
    <n v="0"/>
    <n v="16"/>
    <n v="40"/>
    <n v="4"/>
  </r>
  <r>
    <m/>
    <x v="32"/>
    <s v="A-493-0099"/>
    <s v="12JW"/>
    <x v="0"/>
    <d v="2025-08-05T00:00:00"/>
    <d v="2025-08-07T00:00:00"/>
    <m/>
    <d v="1899-12-30T10:00:00"/>
    <d v="1899-12-30T07:00:00"/>
    <d v="1899-12-30T17:00:00"/>
    <d v="1899-12-30T16:00:00"/>
    <d v="1899-12-30T04:00:00"/>
    <d v="1899-12-30T23:00:00"/>
    <s v="V. Kentish"/>
    <m/>
    <m/>
    <n v="45"/>
    <n v="24"/>
    <n v="3"/>
    <m/>
    <m/>
    <m/>
    <m/>
    <m/>
    <m/>
    <m/>
    <m/>
    <m/>
    <n v="106"/>
    <n v="1"/>
    <n v="1"/>
    <n v="1"/>
    <n v="0"/>
    <n v="24"/>
    <n v="45"/>
    <n v="4"/>
  </r>
  <r>
    <m/>
    <x v="22"/>
    <s v="A-493-2501"/>
    <s v="05ZE"/>
    <x v="25"/>
    <d v="2025-08-05T00:00:00"/>
    <d v="2025-08-05T00:00:00"/>
    <d v="1899-12-30T08:00:00"/>
    <m/>
    <m/>
    <m/>
    <m/>
    <m/>
    <m/>
    <s v="ENV Contractor"/>
    <m/>
    <m/>
    <n v="30"/>
    <n v="8"/>
    <n v="1"/>
    <n v="38"/>
    <m/>
    <m/>
    <m/>
    <m/>
    <m/>
    <m/>
    <m/>
    <m/>
    <n v="104"/>
    <n v="1"/>
    <n v="1"/>
    <n v="1"/>
    <n v="0"/>
    <n v="8"/>
    <n v="25"/>
    <n v="4"/>
  </r>
  <r>
    <m/>
    <x v="38"/>
    <s v="A-493-2301"/>
    <s v="05ZD"/>
    <x v="64"/>
    <d v="2025-08-06T00:00:00"/>
    <d v="2025-08-06T00:00:00"/>
    <d v="1899-12-30T08:00:00"/>
    <m/>
    <m/>
    <m/>
    <m/>
    <m/>
    <m/>
    <s v="ENV Contractor"/>
    <m/>
    <m/>
    <n v="30"/>
    <n v="8"/>
    <n v="1"/>
    <n v="52"/>
    <m/>
    <m/>
    <m/>
    <m/>
    <m/>
    <m/>
    <m/>
    <m/>
    <n v="105"/>
    <n v="1"/>
    <n v="1"/>
    <n v="1"/>
    <n v="0"/>
    <n v="8"/>
    <n v="30"/>
    <n v="4"/>
  </r>
  <r>
    <m/>
    <x v="21"/>
    <s v="A-493-0083"/>
    <s v="339E"/>
    <x v="4"/>
    <d v="2025-08-07T00:00:00"/>
    <d v="2025-08-07T00:00:00"/>
    <d v="1899-12-30T08:00:00"/>
    <m/>
    <m/>
    <m/>
    <m/>
    <m/>
    <m/>
    <s v="ENV Contractor"/>
    <m/>
    <m/>
    <n v="30"/>
    <n v="8"/>
    <n v="1"/>
    <n v="143"/>
    <m/>
    <m/>
    <m/>
    <m/>
    <m/>
    <m/>
    <m/>
    <m/>
    <n v="106"/>
    <n v="1"/>
    <n v="1"/>
    <n v="1"/>
    <n v="0"/>
    <n v="8"/>
    <n v="30"/>
    <n v="4"/>
  </r>
  <r>
    <m/>
    <x v="22"/>
    <s v="A-493-2501"/>
    <s v="05ZE"/>
    <x v="64"/>
    <d v="2025-08-07T00:00:00"/>
    <d v="2025-08-07T00:00:00"/>
    <d v="1899-12-30T08:00:00"/>
    <m/>
    <m/>
    <m/>
    <m/>
    <m/>
    <m/>
    <s v="ENV Contractor"/>
    <m/>
    <m/>
    <n v="30"/>
    <n v="8"/>
    <n v="1"/>
    <n v="51"/>
    <m/>
    <m/>
    <m/>
    <m/>
    <m/>
    <m/>
    <m/>
    <m/>
    <n v="106"/>
    <n v="1"/>
    <n v="1"/>
    <n v="1"/>
    <n v="0"/>
    <n v="8"/>
    <n v="30"/>
    <n v="4"/>
  </r>
  <r>
    <m/>
    <x v="30"/>
    <s v="A-493-0665"/>
    <s v="10KW"/>
    <x v="0"/>
    <d v="2025-08-11T00:00:00"/>
    <d v="2025-08-13T00:00:00"/>
    <m/>
    <d v="1899-12-30T08:00:00"/>
    <d v="1899-12-30T05:00:00"/>
    <d v="1899-12-30T15:00:00"/>
    <d v="1899-12-30T13:00:00"/>
    <d v="1899-12-30T02:00:00"/>
    <d v="1899-12-30T21:00:00"/>
    <s v="LSC Kitivi"/>
    <m/>
    <m/>
    <n v="45"/>
    <n v="24"/>
    <n v="3"/>
    <m/>
    <m/>
    <m/>
    <m/>
    <m/>
    <m/>
    <m/>
    <m/>
    <m/>
    <n v="112"/>
    <n v="1"/>
    <n v="1"/>
    <n v="1"/>
    <n v="0"/>
    <n v="24"/>
    <n v="45"/>
    <n v="4"/>
  </r>
  <r>
    <s v="New London, CT"/>
    <x v="9"/>
    <s v="A-493-0012"/>
    <n v="3682"/>
    <x v="33"/>
    <d v="2025-08-11T00:00:00"/>
    <d v="2025-08-15T00:00:00"/>
    <d v="1899-12-30T08:00:00"/>
    <m/>
    <m/>
    <m/>
    <m/>
    <m/>
    <m/>
    <s v="W. Bailey"/>
    <m/>
    <m/>
    <n v="40"/>
    <n v="40"/>
    <n v="5"/>
    <n v="0"/>
    <m/>
    <m/>
    <m/>
    <m/>
    <m/>
    <m/>
    <m/>
    <m/>
    <n v="114"/>
    <n v="1"/>
    <n v="1"/>
    <n v="1"/>
    <n v="0"/>
    <n v="40"/>
    <n v="38"/>
    <n v="4"/>
  </r>
  <r>
    <m/>
    <x v="27"/>
    <s v="A-493-2300"/>
    <s v="993F"/>
    <x v="33"/>
    <d v="2025-08-11T00:00:00"/>
    <d v="2025-08-12T00:00:00"/>
    <d v="1899-12-30T08:00:00"/>
    <m/>
    <m/>
    <m/>
    <m/>
    <m/>
    <m/>
    <s v="ENV Contractor"/>
    <m/>
    <m/>
    <n v="30"/>
    <n v="16"/>
    <n v="2"/>
    <n v="30"/>
    <m/>
    <m/>
    <m/>
    <m/>
    <m/>
    <m/>
    <m/>
    <m/>
    <n v="111"/>
    <n v="1"/>
    <n v="1"/>
    <n v="1"/>
    <n v="0"/>
    <n v="16"/>
    <n v="30"/>
    <n v="4"/>
  </r>
  <r>
    <m/>
    <x v="11"/>
    <s v="A-493-0070"/>
    <s v="450V"/>
    <x v="0"/>
    <d v="2025-08-11T00:00:00"/>
    <d v="2025-08-12T00:00:00"/>
    <m/>
    <d v="1899-12-30T06:00:00"/>
    <d v="1899-12-30T03:00:00"/>
    <d v="1899-12-30T13:00:00"/>
    <d v="1899-12-30T12:00:00"/>
    <d v="1899-12-30T00:00:00"/>
    <d v="1899-12-30T19:00:00"/>
    <s v="B. Jung"/>
    <m/>
    <m/>
    <n v="30"/>
    <n v="8"/>
    <n v="1"/>
    <m/>
    <n v="0"/>
    <m/>
    <m/>
    <m/>
    <m/>
    <m/>
    <m/>
    <m/>
    <n v="111"/>
    <n v="1"/>
    <n v="1"/>
    <n v="1"/>
    <n v="0"/>
    <n v="8"/>
    <n v="28"/>
    <n v="4"/>
  </r>
  <r>
    <m/>
    <x v="17"/>
    <s v="A-760-2166"/>
    <s v="438J"/>
    <x v="20"/>
    <d v="2025-08-11T00:00:00"/>
    <d v="2025-08-12T00:00:00"/>
    <d v="1899-12-30T08:00:00"/>
    <m/>
    <m/>
    <m/>
    <m/>
    <m/>
    <m/>
    <s v="B. Jung"/>
    <m/>
    <m/>
    <n v="25"/>
    <n v="16"/>
    <n v="2"/>
    <m/>
    <n v="0"/>
    <m/>
    <m/>
    <m/>
    <m/>
    <m/>
    <m/>
    <m/>
    <n v="111"/>
    <n v="1"/>
    <n v="1"/>
    <n v="1"/>
    <n v="0"/>
    <n v="16"/>
    <n v="25"/>
    <n v="4"/>
  </r>
  <r>
    <m/>
    <x v="4"/>
    <s v="A-493-0550"/>
    <s v="09K5"/>
    <x v="0"/>
    <d v="2025-08-11T00:00:00"/>
    <d v="2025-08-14T00:00:00"/>
    <m/>
    <d v="1899-12-30T10:00:00"/>
    <d v="1899-12-30T07:00:00"/>
    <d v="1899-12-30T17:00:00"/>
    <d v="1899-12-30T16:00:00"/>
    <d v="1899-12-30T04:00:00"/>
    <d v="1899-12-30T23:00:00"/>
    <s v="A. DeCastro"/>
    <m/>
    <m/>
    <n v="45"/>
    <n v="32"/>
    <n v="4"/>
    <m/>
    <m/>
    <m/>
    <m/>
    <m/>
    <m/>
    <m/>
    <m/>
    <m/>
    <n v="113"/>
    <n v="1"/>
    <n v="1"/>
    <n v="1"/>
    <n v="0"/>
    <n v="32"/>
    <n v="44"/>
    <n v="4"/>
  </r>
  <r>
    <m/>
    <x v="3"/>
    <s v="A-493-0078"/>
    <n v="1228"/>
    <x v="0"/>
    <d v="2025-08-11T00:00:00"/>
    <d v="2025-08-14T00:00:00"/>
    <m/>
    <d v="1899-12-30T10:00:00"/>
    <d v="1899-12-30T07:00:00"/>
    <d v="1899-12-30T17:00:00"/>
    <d v="1899-12-30T16:00:00"/>
    <d v="1899-12-30T04:00:00"/>
    <d v="1899-12-30T23:00:00"/>
    <s v="T. White"/>
    <m/>
    <m/>
    <n v="45"/>
    <n v="32"/>
    <n v="4"/>
    <m/>
    <m/>
    <m/>
    <m/>
    <m/>
    <m/>
    <m/>
    <m/>
    <m/>
    <n v="113"/>
    <n v="1"/>
    <n v="1"/>
    <n v="1"/>
    <n v="0"/>
    <n v="32"/>
    <n v="44"/>
    <n v="4"/>
  </r>
  <r>
    <m/>
    <x v="6"/>
    <s v="A-493-0085"/>
    <n v="3555"/>
    <x v="0"/>
    <d v="2025-08-11T00:00:00"/>
    <d v="2025-08-14T00:00:00"/>
    <m/>
    <d v="1899-12-30T12:00:00"/>
    <d v="1899-12-30T09:00:00"/>
    <d v="1899-12-30T19:00:00"/>
    <d v="1899-12-30T18:00:00"/>
    <d v="1899-12-30T06:00:00"/>
    <d v="1899-12-30T01:00:00"/>
    <s v="LT Andrew"/>
    <m/>
    <m/>
    <n v="45"/>
    <n v="32"/>
    <n v="4"/>
    <m/>
    <n v="0"/>
    <m/>
    <m/>
    <m/>
    <m/>
    <m/>
    <m/>
    <m/>
    <n v="113"/>
    <n v="1"/>
    <n v="1"/>
    <n v="1"/>
    <n v="0"/>
    <n v="32"/>
    <n v="45"/>
    <n v="4"/>
  </r>
  <r>
    <m/>
    <x v="31"/>
    <s v="F-4J-0023"/>
    <s v="11A2"/>
    <x v="0"/>
    <d v="2025-08-11T00:00:00"/>
    <d v="2025-08-12T00:00:00"/>
    <m/>
    <d v="1899-12-30T12:00:00"/>
    <d v="1899-12-30T09:00:00"/>
    <d v="1899-12-30T19:00:00"/>
    <d v="1899-12-30T18:00:00"/>
    <d v="1899-12-30T06:00:00"/>
    <d v="1899-12-30T01:00:00"/>
    <s v="EMC Stroughn"/>
    <m/>
    <m/>
    <n v="45"/>
    <n v="16"/>
    <n v="2"/>
    <m/>
    <m/>
    <m/>
    <m/>
    <m/>
    <m/>
    <m/>
    <m/>
    <m/>
    <n v="111"/>
    <n v="1"/>
    <n v="1"/>
    <n v="1"/>
    <n v="0"/>
    <n v="16"/>
    <n v="45"/>
    <n v="4"/>
  </r>
  <r>
    <m/>
    <x v="1"/>
    <s v="A-570-0100"/>
    <s v="18B7"/>
    <x v="0"/>
    <d v="2025-08-11T00:00:00"/>
    <d v="2025-08-12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m/>
    <m/>
    <m/>
    <m/>
    <m/>
    <m/>
    <m/>
    <m/>
    <m/>
    <n v="111"/>
    <n v="1"/>
    <n v="1"/>
    <n v="1"/>
    <n v="0"/>
    <n v="16"/>
    <n v="42"/>
    <n v="4"/>
  </r>
  <r>
    <m/>
    <x v="39"/>
    <s v="A-493-2017"/>
    <s v="12x3"/>
    <x v="1"/>
    <d v="2025-08-11T00:00:00"/>
    <d v="2025-08-15T00:00:00"/>
    <d v="1899-12-30T08:00:00"/>
    <m/>
    <m/>
    <m/>
    <m/>
    <m/>
    <m/>
    <s v="ENV Contractor"/>
    <m/>
    <m/>
    <n v="25"/>
    <n v="40"/>
    <n v="5"/>
    <m/>
    <m/>
    <m/>
    <m/>
    <m/>
    <m/>
    <m/>
    <m/>
    <m/>
    <n v="114"/>
    <n v="1"/>
    <n v="1"/>
    <n v="1"/>
    <n v="0"/>
    <n v="40"/>
    <n v="23"/>
    <n v="4"/>
  </r>
  <r>
    <m/>
    <x v="36"/>
    <s v="A-493-0077"/>
    <s v="0381"/>
    <x v="18"/>
    <d v="2025-08-12T00:00:00"/>
    <d v="2025-08-14T00:00:00"/>
    <d v="1899-12-30T08:00:00"/>
    <m/>
    <m/>
    <m/>
    <m/>
    <m/>
    <m/>
    <s v="ENV Contractor"/>
    <m/>
    <m/>
    <n v="25"/>
    <n v="24"/>
    <n v="3"/>
    <n v="20"/>
    <m/>
    <m/>
    <m/>
    <m/>
    <m/>
    <m/>
    <m/>
    <m/>
    <n v="113"/>
    <n v="1"/>
    <n v="1"/>
    <n v="1"/>
    <n v="0"/>
    <n v="24"/>
    <n v="23"/>
    <n v="4"/>
  </r>
  <r>
    <m/>
    <x v="33"/>
    <s v="A-493-0075 "/>
    <s v="714U"/>
    <x v="11"/>
    <d v="2025-08-12T00:00:00"/>
    <d v="2025-08-15T00:00:00"/>
    <d v="1899-12-30T08:00:00"/>
    <m/>
    <m/>
    <m/>
    <m/>
    <m/>
    <m/>
    <s v="SOH Contractor"/>
    <m/>
    <m/>
    <n v="30"/>
    <n v="32"/>
    <n v="4"/>
    <n v="137"/>
    <m/>
    <m/>
    <m/>
    <m/>
    <m/>
    <m/>
    <m/>
    <m/>
    <n v="114"/>
    <n v="1"/>
    <n v="1"/>
    <n v="1"/>
    <n v="0"/>
    <n v="32"/>
    <n v="24"/>
    <n v="4"/>
  </r>
  <r>
    <m/>
    <x v="37"/>
    <s v="A-493-0015"/>
    <n v="3879"/>
    <x v="0"/>
    <d v="2025-08-13T00:00:00"/>
    <d v="2025-08-13T00:00:00"/>
    <m/>
    <d v="1899-12-30T19:00:00"/>
    <d v="1899-12-30T16:00:00"/>
    <d v="1899-12-30T02:00:00"/>
    <d v="1899-12-30T00:00:00"/>
    <d v="1899-12-30T13:00:00"/>
    <d v="1899-12-30T08:00:00"/>
    <s v="B. Jung"/>
    <m/>
    <m/>
    <n v="30"/>
    <n v="4"/>
    <n v="0.5"/>
    <m/>
    <n v="0"/>
    <m/>
    <m/>
    <m/>
    <m/>
    <m/>
    <m/>
    <m/>
    <n v="112"/>
    <n v="1"/>
    <n v="1"/>
    <n v="1"/>
    <n v="0"/>
    <n v="4"/>
    <n v="29"/>
    <n v="4"/>
  </r>
  <r>
    <m/>
    <x v="28"/>
    <s v="A-493-0092"/>
    <n v="5891"/>
    <x v="24"/>
    <d v="2025-08-13T00:00:00"/>
    <d v="2025-08-15T00:00:00"/>
    <d v="1899-12-30T08:00:00"/>
    <m/>
    <m/>
    <m/>
    <m/>
    <m/>
    <m/>
    <s v="W. Mitchell"/>
    <m/>
    <s v="LSC Kitivi"/>
    <n v="25"/>
    <n v="24"/>
    <n v="3"/>
    <m/>
    <n v="0"/>
    <m/>
    <m/>
    <m/>
    <m/>
    <m/>
    <m/>
    <m/>
    <n v="114"/>
    <n v="1"/>
    <n v="1"/>
    <n v="1"/>
    <n v="0"/>
    <n v="24"/>
    <n v="17"/>
    <n v="4"/>
  </r>
  <r>
    <m/>
    <x v="22"/>
    <s v="A-493-2501"/>
    <s v="05ZE"/>
    <x v="33"/>
    <d v="2025-08-13T00:00:00"/>
    <d v="2025-08-13T00:00:00"/>
    <d v="1899-12-30T08:00:00"/>
    <m/>
    <m/>
    <m/>
    <m/>
    <m/>
    <m/>
    <s v="ENV Contractor"/>
    <m/>
    <m/>
    <n v="30"/>
    <n v="8"/>
    <n v="1"/>
    <n v="35"/>
    <m/>
    <m/>
    <m/>
    <m/>
    <m/>
    <m/>
    <m/>
    <m/>
    <n v="112"/>
    <n v="1"/>
    <n v="1"/>
    <n v="1"/>
    <n v="0"/>
    <n v="8"/>
    <n v="30"/>
    <n v="4"/>
  </r>
  <r>
    <m/>
    <x v="38"/>
    <s v="A-493-2301"/>
    <s v="05ZD"/>
    <x v="57"/>
    <d v="2025-08-14T00:00:00"/>
    <d v="2025-08-14T00:00:00"/>
    <d v="1899-12-30T08:00:00"/>
    <m/>
    <m/>
    <m/>
    <m/>
    <m/>
    <m/>
    <s v="ENV Contractor"/>
    <m/>
    <m/>
    <n v="30"/>
    <n v="8"/>
    <n v="1"/>
    <n v="38"/>
    <m/>
    <m/>
    <m/>
    <m/>
    <m/>
    <m/>
    <m/>
    <m/>
    <n v="113"/>
    <n v="1"/>
    <n v="1"/>
    <n v="1"/>
    <n v="0"/>
    <n v="8"/>
    <n v="30"/>
    <n v="4"/>
  </r>
  <r>
    <m/>
    <x v="15"/>
    <s v="A-493-0020"/>
    <n v="3888"/>
    <x v="0"/>
    <d v="2025-08-14T00:00:00"/>
    <d v="2025-08-14T00:00:00"/>
    <m/>
    <d v="1899-12-30T06:00:00"/>
    <d v="1899-12-30T03:00:00"/>
    <d v="1899-12-30T13:00:00"/>
    <d v="1899-12-30T12:00:00"/>
    <d v="1899-12-30T00:00:00"/>
    <d v="1899-12-30T19:00:00"/>
    <s v="B. Jung"/>
    <m/>
    <m/>
    <n v="30"/>
    <n v="4"/>
    <n v="0.5"/>
    <m/>
    <n v="0"/>
    <m/>
    <m/>
    <m/>
    <m/>
    <m/>
    <m/>
    <m/>
    <n v="113"/>
    <n v="1"/>
    <n v="1"/>
    <n v="1"/>
    <n v="0"/>
    <n v="4"/>
    <n v="29"/>
    <n v="4"/>
  </r>
  <r>
    <s v="QTR 4 All Hands @0900"/>
    <x v="8"/>
    <s v="Function"/>
    <s v="Function"/>
    <x v="1"/>
    <d v="2025-08-15T00:00:00"/>
    <d v="2025-08-15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114"/>
    <n v="0"/>
    <n v="1"/>
    <n v="0"/>
    <n v="0"/>
    <e v="#DIV/0!"/>
    <n v="0"/>
    <n v="4"/>
  </r>
  <r>
    <m/>
    <x v="22"/>
    <s v="A-493-2501"/>
    <s v="05ZE"/>
    <x v="57"/>
    <d v="2025-08-15T00:00:00"/>
    <d v="2025-08-15T00:00:00"/>
    <d v="1899-12-30T08:00:00"/>
    <m/>
    <m/>
    <m/>
    <m/>
    <m/>
    <m/>
    <s v="ENV Contractor"/>
    <m/>
    <m/>
    <n v="30"/>
    <n v="8"/>
    <n v="1"/>
    <n v="0"/>
    <m/>
    <m/>
    <m/>
    <m/>
    <m/>
    <m/>
    <m/>
    <m/>
    <n v="114"/>
    <n v="1"/>
    <n v="1"/>
    <n v="1"/>
    <n v="0"/>
    <n v="8"/>
    <n v="30"/>
    <n v="4"/>
  </r>
  <r>
    <s v="USMC"/>
    <x v="9"/>
    <s v="A-493-0012"/>
    <n v="3682"/>
    <x v="48"/>
    <d v="2025-08-18T00:00:00"/>
    <d v="2025-08-22T00:00:00"/>
    <d v="1899-12-30T08:00:00"/>
    <m/>
    <m/>
    <m/>
    <m/>
    <m/>
    <m/>
    <s v="G. Jester"/>
    <m/>
    <m/>
    <n v="40"/>
    <n v="40"/>
    <n v="5"/>
    <n v="0"/>
    <m/>
    <m/>
    <m/>
    <m/>
    <m/>
    <m/>
    <m/>
    <m/>
    <n v="121"/>
    <n v="1"/>
    <n v="1"/>
    <n v="1"/>
    <n v="0"/>
    <n v="40"/>
    <n v="40"/>
    <n v="4"/>
  </r>
  <r>
    <m/>
    <x v="36"/>
    <s v="A-493-0077"/>
    <s v="0381"/>
    <x v="22"/>
    <d v="2025-08-18T00:00:00"/>
    <d v="2025-08-20T00:00:00"/>
    <d v="1899-12-30T08:00:00"/>
    <m/>
    <m/>
    <m/>
    <m/>
    <m/>
    <m/>
    <s v="ENV Contractor"/>
    <m/>
    <m/>
    <n v="25"/>
    <n v="24"/>
    <n v="3"/>
    <n v="38"/>
    <m/>
    <m/>
    <m/>
    <m/>
    <m/>
    <m/>
    <m/>
    <m/>
    <n v="119"/>
    <n v="1"/>
    <n v="1"/>
    <n v="1"/>
    <n v="0"/>
    <n v="24"/>
    <n v="11"/>
    <n v="4"/>
  </r>
  <r>
    <m/>
    <x v="34"/>
    <s v="A-493-0103"/>
    <s v="12JY"/>
    <x v="15"/>
    <d v="2025-08-18T00:00:00"/>
    <d v="2025-08-22T00:00:00"/>
    <d v="1899-12-30T08:00:00"/>
    <m/>
    <m/>
    <m/>
    <m/>
    <m/>
    <m/>
    <s v="SOH Contractor"/>
    <m/>
    <m/>
    <n v="25"/>
    <n v="40"/>
    <n v="5"/>
    <n v="155"/>
    <m/>
    <m/>
    <m/>
    <m/>
    <m/>
    <m/>
    <m/>
    <m/>
    <n v="121"/>
    <n v="1"/>
    <n v="1"/>
    <n v="1"/>
    <n v="0"/>
    <n v="40"/>
    <n v="16"/>
    <n v="4"/>
  </r>
  <r>
    <m/>
    <x v="0"/>
    <s v="A-322-2604"/>
    <s v="10ZZ"/>
    <x v="0"/>
    <d v="2025-08-18T00:00:00"/>
    <d v="2025-08-20T00:00:00"/>
    <m/>
    <d v="1899-12-30T19:00:00"/>
    <d v="1899-12-30T16:00:00"/>
    <d v="1899-12-30T02:00:00"/>
    <d v="1899-12-30T00:00:00"/>
    <d v="1899-12-30T13:00:00"/>
    <d v="1899-12-30T08:00:00"/>
    <s v="LS1 Scoggins"/>
    <m/>
    <m/>
    <n v="45"/>
    <n v="24"/>
    <n v="3"/>
    <m/>
    <n v="0"/>
    <m/>
    <m/>
    <m/>
    <m/>
    <m/>
    <m/>
    <m/>
    <n v="119"/>
    <n v="1"/>
    <n v="1"/>
    <n v="1"/>
    <n v="0"/>
    <n v="24"/>
    <n v="45"/>
    <n v="4"/>
  </r>
  <r>
    <m/>
    <x v="14"/>
    <s v="A-493-0335"/>
    <s v="09ND"/>
    <x v="0"/>
    <d v="2025-08-18T00:00:00"/>
    <d v="2025-08-21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m/>
    <n v="0"/>
    <m/>
    <m/>
    <m/>
    <m/>
    <m/>
    <m/>
    <m/>
    <n v="120"/>
    <n v="1"/>
    <n v="1"/>
    <n v="1"/>
    <n v="0"/>
    <n v="32"/>
    <n v="45"/>
    <n v="4"/>
  </r>
  <r>
    <m/>
    <x v="4"/>
    <s v="A-493-0550"/>
    <s v="09K5"/>
    <x v="0"/>
    <d v="2025-08-18T00:00:00"/>
    <d v="2025-08-21T00:00:00"/>
    <m/>
    <d v="1899-12-30T08:00:00"/>
    <d v="1899-12-30T05:00:00"/>
    <d v="1899-12-30T15:00:00"/>
    <d v="1899-12-30T13:00:00"/>
    <d v="1899-12-30T02:00:00"/>
    <d v="1899-12-30T21:00:00"/>
    <s v="TBD"/>
    <m/>
    <m/>
    <n v="45"/>
    <n v="32"/>
    <n v="4"/>
    <m/>
    <m/>
    <m/>
    <m/>
    <m/>
    <m/>
    <m/>
    <m/>
    <m/>
    <n v="120"/>
    <n v="1"/>
    <n v="1"/>
    <n v="1"/>
    <n v="0"/>
    <n v="32"/>
    <n v="42"/>
    <n v="4"/>
  </r>
  <r>
    <m/>
    <x v="5"/>
    <s v="A-493-0073"/>
    <s v="714S"/>
    <x v="0"/>
    <d v="2025-08-18T00:00:00"/>
    <d v="2025-08-21T00:00:00"/>
    <m/>
    <d v="1899-12-30T08:00:00"/>
    <d v="1899-12-30T05:00:00"/>
    <d v="1899-12-30T15:00:00"/>
    <d v="1899-12-30T13:00:00"/>
    <d v="1899-12-30T02:00:00"/>
    <d v="1899-12-30T21:00:00"/>
    <s v="SOH Contractor"/>
    <m/>
    <m/>
    <n v="30"/>
    <n v="32"/>
    <n v="4"/>
    <n v="284"/>
    <m/>
    <m/>
    <m/>
    <m/>
    <m/>
    <m/>
    <m/>
    <m/>
    <n v="120"/>
    <n v="1"/>
    <n v="1"/>
    <n v="1"/>
    <n v="0"/>
    <n v="32"/>
    <n v="26"/>
    <n v="4"/>
  </r>
  <r>
    <m/>
    <x v="16"/>
    <s v="A-493-0072"/>
    <s v="713U"/>
    <x v="24"/>
    <d v="2025-08-18T00:00:00"/>
    <d v="2025-08-22T00:00:00"/>
    <d v="1899-12-30T08:00:00"/>
    <m/>
    <m/>
    <m/>
    <m/>
    <m/>
    <m/>
    <s v="W. Mitchell"/>
    <m/>
    <s v="LSC Kitivi"/>
    <n v="30"/>
    <n v="40"/>
    <n v="5"/>
    <m/>
    <n v="0"/>
    <m/>
    <m/>
    <m/>
    <m/>
    <m/>
    <m/>
    <m/>
    <n v="121"/>
    <n v="1"/>
    <n v="1"/>
    <n v="1"/>
    <n v="0"/>
    <n v="40"/>
    <n v="25"/>
    <n v="4"/>
  </r>
  <r>
    <m/>
    <x v="2"/>
    <s v="A-493-2098"/>
    <s v="09WW"/>
    <x v="0"/>
    <d v="2025-08-18T00:00:00"/>
    <d v="2025-08-20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m/>
    <m/>
    <m/>
    <m/>
    <m/>
    <m/>
    <m/>
    <m/>
    <m/>
    <n v="119"/>
    <n v="1"/>
    <n v="1"/>
    <n v="1"/>
    <n v="0"/>
    <n v="16"/>
    <n v="100"/>
    <n v="4"/>
  </r>
  <r>
    <m/>
    <x v="32"/>
    <s v="A-493-0099"/>
    <s v="12JW"/>
    <x v="0"/>
    <d v="2025-08-19T00:00:00"/>
    <d v="2025-08-21T00:00:00"/>
    <m/>
    <d v="1899-12-30T11:00:00"/>
    <d v="1899-12-30T08:00:00"/>
    <d v="1899-12-30T18:00:00"/>
    <d v="1899-12-30T16:00:00"/>
    <d v="1899-12-30T05:00:00"/>
    <d v="1899-12-30T00:00:00"/>
    <s v="V. Kentish"/>
    <m/>
    <m/>
    <n v="45"/>
    <n v="24"/>
    <n v="3"/>
    <m/>
    <m/>
    <m/>
    <m/>
    <m/>
    <m/>
    <m/>
    <m/>
    <m/>
    <n v="120"/>
    <n v="1"/>
    <n v="1"/>
    <n v="1"/>
    <n v="0"/>
    <n v="24"/>
    <n v="44"/>
    <n v="4"/>
  </r>
  <r>
    <m/>
    <x v="13"/>
    <s v="A-493-0331"/>
    <s v="10UG"/>
    <x v="0"/>
    <d v="2025-08-19T00:00:00"/>
    <d v="2025-08-21T00:00:00"/>
    <m/>
    <d v="1899-12-30T12:00:00"/>
    <d v="1899-12-30T09:00:00"/>
    <d v="1899-12-30T19:00:00"/>
    <d v="1899-12-30T18:00:00"/>
    <d v="1899-12-30T06:00:00"/>
    <d v="1899-12-30T01:00:00"/>
    <s v="A.Hardy"/>
    <m/>
    <m/>
    <n v="45"/>
    <n v="24"/>
    <n v="3"/>
    <m/>
    <n v="0"/>
    <n v="0"/>
    <m/>
    <m/>
    <m/>
    <m/>
    <m/>
    <m/>
    <n v="120"/>
    <n v="1"/>
    <n v="1"/>
    <n v="1"/>
    <n v="0"/>
    <n v="24"/>
    <n v="42"/>
    <n v="4"/>
  </r>
  <r>
    <m/>
    <x v="21"/>
    <s v="A-493-0083"/>
    <s v="339E"/>
    <x v="22"/>
    <d v="2025-08-21T00:00:00"/>
    <d v="2025-08-21T00:00:00"/>
    <d v="1899-12-30T08:00:00"/>
    <m/>
    <m/>
    <m/>
    <m/>
    <m/>
    <m/>
    <s v="ENV Contractor"/>
    <m/>
    <m/>
    <n v="30"/>
    <n v="8"/>
    <n v="1"/>
    <n v="48"/>
    <m/>
    <m/>
    <m/>
    <m/>
    <m/>
    <m/>
    <m/>
    <m/>
    <n v="120"/>
    <n v="1"/>
    <n v="1"/>
    <n v="1"/>
    <n v="0"/>
    <n v="8"/>
    <n v="30"/>
    <n v="4"/>
  </r>
  <r>
    <m/>
    <x v="9"/>
    <s v="A-493-0012"/>
    <n v="3682"/>
    <x v="37"/>
    <d v="2025-08-25T00:00:00"/>
    <d v="2025-08-29T00:00:00"/>
    <d v="1899-12-30T08:00:00"/>
    <m/>
    <m/>
    <m/>
    <m/>
    <m/>
    <m/>
    <s v="G. Jester"/>
    <m/>
    <m/>
    <n v="40"/>
    <n v="40"/>
    <n v="5"/>
    <n v="30"/>
    <m/>
    <m/>
    <m/>
    <m/>
    <m/>
    <m/>
    <m/>
    <m/>
    <n v="128"/>
    <n v="1"/>
    <n v="1"/>
    <n v="1"/>
    <n v="0"/>
    <n v="40"/>
    <n v="40"/>
    <n v="4"/>
  </r>
  <r>
    <m/>
    <x v="34"/>
    <s v="A-493-0103"/>
    <s v="12JY"/>
    <x v="1"/>
    <d v="2025-08-25T00:00:00"/>
    <d v="2025-08-29T00:00:00"/>
    <d v="1899-12-30T08:00:00"/>
    <m/>
    <m/>
    <m/>
    <m/>
    <m/>
    <m/>
    <s v="SOH Contractor"/>
    <m/>
    <m/>
    <n v="25"/>
    <n v="40"/>
    <n v="5"/>
    <n v="332"/>
    <m/>
    <m/>
    <m/>
    <m/>
    <m/>
    <m/>
    <m/>
    <m/>
    <n v="128"/>
    <n v="1"/>
    <n v="1"/>
    <n v="1"/>
    <n v="0"/>
    <n v="40"/>
    <n v="12"/>
    <n v="4"/>
  </r>
  <r>
    <m/>
    <x v="19"/>
    <s v="A-493-0030"/>
    <s v="286X"/>
    <x v="41"/>
    <d v="2025-08-25T00:00:00"/>
    <d v="2025-08-29T00:00:00"/>
    <d v="1899-12-30T08:00:00"/>
    <m/>
    <m/>
    <m/>
    <m/>
    <m/>
    <m/>
    <s v="OH Contractor"/>
    <m/>
    <m/>
    <n v="25"/>
    <n v="40"/>
    <n v="5"/>
    <n v="6"/>
    <n v="0"/>
    <m/>
    <m/>
    <m/>
    <m/>
    <m/>
    <m/>
    <m/>
    <n v="128"/>
    <n v="1"/>
    <n v="1"/>
    <n v="1"/>
    <n v="0"/>
    <n v="40"/>
    <n v="20"/>
    <n v="4"/>
  </r>
  <r>
    <m/>
    <x v="20"/>
    <s v="A-493-0061"/>
    <s v="288E"/>
    <x v="0"/>
    <d v="2025-08-25T00:00:00"/>
    <d v="2025-08-28T00:00:00"/>
    <m/>
    <d v="1899-12-30T07:00:00"/>
    <d v="1899-12-30T04:00:00"/>
    <d v="1899-12-30T14:00:00"/>
    <d v="1899-12-30T12:00:00"/>
    <d v="1899-12-30T01:00:00"/>
    <d v="1899-12-30T20:00:00"/>
    <s v="S. Griffin"/>
    <m/>
    <m/>
    <n v="45"/>
    <n v="30"/>
    <n v="4"/>
    <m/>
    <m/>
    <m/>
    <m/>
    <m/>
    <m/>
    <m/>
    <m/>
    <m/>
    <n v="127"/>
    <n v="1"/>
    <n v="1"/>
    <n v="1"/>
    <n v="0"/>
    <n v="30"/>
    <n v="45"/>
    <n v="4"/>
  </r>
  <r>
    <m/>
    <x v="3"/>
    <s v="A-493-0078"/>
    <n v="1228"/>
    <x v="0"/>
    <d v="2025-08-25T00:00:00"/>
    <d v="2025-08-28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m/>
    <m/>
    <m/>
    <m/>
    <m/>
    <m/>
    <m/>
    <m/>
    <m/>
    <n v="127"/>
    <n v="1"/>
    <n v="1"/>
    <n v="1"/>
    <n v="0"/>
    <n v="32"/>
    <n v="44"/>
    <n v="4"/>
  </r>
  <r>
    <m/>
    <x v="6"/>
    <s v="A-493-0085"/>
    <n v="3555"/>
    <x v="0"/>
    <d v="2025-08-25T00:00:00"/>
    <d v="2025-08-28T00:00:00"/>
    <m/>
    <d v="1899-12-30T12:00:00"/>
    <d v="1899-12-30T09:00:00"/>
    <d v="1899-12-30T19:00:00"/>
    <d v="1899-12-30T18:00:00"/>
    <d v="1899-12-30T06:00:00"/>
    <d v="1899-12-30T01:00:00"/>
    <s v="LT Andrew"/>
    <m/>
    <m/>
    <n v="45"/>
    <n v="32"/>
    <n v="4"/>
    <m/>
    <n v="0"/>
    <m/>
    <m/>
    <m/>
    <m/>
    <m/>
    <m/>
    <m/>
    <n v="127"/>
    <n v="1"/>
    <n v="1"/>
    <n v="1"/>
    <n v="0"/>
    <n v="32"/>
    <n v="45"/>
    <n v="4"/>
  </r>
  <r>
    <m/>
    <x v="16"/>
    <s v="A-493-0072"/>
    <s v="713U"/>
    <x v="28"/>
    <d v="2025-08-25T00:00:00"/>
    <d v="2025-08-29T00:00:00"/>
    <d v="1899-12-30T08:00:00"/>
    <m/>
    <m/>
    <m/>
    <m/>
    <m/>
    <m/>
    <s v="W. Mitchell"/>
    <m/>
    <s v="LSC Kitivi"/>
    <n v="30"/>
    <n v="40"/>
    <n v="5"/>
    <m/>
    <n v="0"/>
    <m/>
    <m/>
    <m/>
    <m/>
    <m/>
    <m/>
    <m/>
    <n v="128"/>
    <n v="1"/>
    <n v="1"/>
    <n v="1"/>
    <n v="0"/>
    <n v="40"/>
    <n v="30"/>
    <n v="4"/>
  </r>
  <r>
    <m/>
    <x v="24"/>
    <s v="A-493-0013"/>
    <n v="3683"/>
    <x v="28"/>
    <d v="2025-08-26T00:00:00"/>
    <d v="2025-08-28T00:00:00"/>
    <d v="1899-12-30T08:00:00"/>
    <m/>
    <m/>
    <m/>
    <m/>
    <m/>
    <m/>
    <s v="R. Hartel"/>
    <m/>
    <m/>
    <n v="40"/>
    <n v="24"/>
    <n v="3"/>
    <n v="5"/>
    <m/>
    <m/>
    <m/>
    <m/>
    <m/>
    <m/>
    <m/>
    <m/>
    <n v="127"/>
    <n v="1"/>
    <n v="1"/>
    <n v="1"/>
    <n v="0"/>
    <n v="24"/>
    <n v="40"/>
    <n v="4"/>
  </r>
  <r>
    <m/>
    <x v="33"/>
    <s v="A-493-0075 "/>
    <s v="714U"/>
    <x v="15"/>
    <d v="2025-08-26T00:00:00"/>
    <d v="2025-08-29T00:00:00"/>
    <d v="1899-12-30T08:00:00"/>
    <m/>
    <m/>
    <m/>
    <m/>
    <m/>
    <m/>
    <s v="SOH Contractor"/>
    <m/>
    <m/>
    <n v="30"/>
    <n v="32"/>
    <n v="4"/>
    <n v="57"/>
    <m/>
    <m/>
    <m/>
    <m/>
    <m/>
    <m/>
    <m/>
    <m/>
    <n v="128"/>
    <n v="1"/>
    <n v="1"/>
    <n v="1"/>
    <n v="0"/>
    <n v="32"/>
    <n v="30"/>
    <n v="4"/>
  </r>
  <r>
    <s v="Labor Day"/>
    <x v="10"/>
    <s v="Holiday"/>
    <s v="Holiday"/>
    <x v="3"/>
    <d v="2025-09-01T00:00:00"/>
    <d v="2025-09-0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131"/>
    <n v="0"/>
    <n v="1"/>
    <n v="0"/>
    <n v="0"/>
    <e v="#DIV/0!"/>
    <m/>
    <m/>
  </r>
  <r>
    <s v="USMC/SMT"/>
    <x v="24"/>
    <s v="A-493-0013"/>
    <n v="3683"/>
    <x v="53"/>
    <d v="2025-09-02T00:00:00"/>
    <d v="2025-09-03T00:00:00"/>
    <d v="1899-12-30T08:00:00"/>
    <m/>
    <m/>
    <m/>
    <m/>
    <m/>
    <m/>
    <s v="G. Jester"/>
    <m/>
    <m/>
    <n v="40"/>
    <n v="24"/>
    <n v="3"/>
    <n v="0"/>
    <m/>
    <m/>
    <m/>
    <m/>
    <m/>
    <m/>
    <m/>
    <m/>
    <n v="133"/>
    <n v="1"/>
    <n v="1"/>
    <n v="1"/>
    <n v="0"/>
    <n v="24"/>
    <n v="40"/>
    <n v="4"/>
  </r>
  <r>
    <m/>
    <x v="36"/>
    <s v="A-493-0077"/>
    <s v="0381"/>
    <x v="64"/>
    <d v="2025-09-02T00:00:00"/>
    <d v="2025-09-04T00:00:00"/>
    <d v="1899-12-30T08:00:00"/>
    <m/>
    <m/>
    <m/>
    <m/>
    <m/>
    <m/>
    <s v="ENV Contractor"/>
    <m/>
    <m/>
    <n v="25"/>
    <n v="24"/>
    <n v="3"/>
    <n v="14"/>
    <m/>
    <m/>
    <m/>
    <m/>
    <m/>
    <m/>
    <m/>
    <m/>
    <n v="134"/>
    <n v="1"/>
    <n v="1"/>
    <n v="1"/>
    <n v="0"/>
    <n v="24"/>
    <n v="25"/>
    <n v="4"/>
  </r>
  <r>
    <m/>
    <x v="32"/>
    <s v="A-493-0099"/>
    <s v="12JW"/>
    <x v="0"/>
    <d v="2025-09-02T00:00:00"/>
    <d v="2025-09-04T00:00:00"/>
    <m/>
    <d v="1899-12-30T19:00:00"/>
    <d v="1899-12-30T16:00:00"/>
    <d v="1899-12-30T02:00:00"/>
    <d v="1899-12-30T00:00:00"/>
    <d v="1899-12-30T13:00:00"/>
    <d v="1899-12-30T08:00:00"/>
    <s v="V. Kentish"/>
    <m/>
    <m/>
    <n v="45"/>
    <n v="24"/>
    <n v="3"/>
    <m/>
    <m/>
    <m/>
    <m/>
    <m/>
    <m/>
    <m/>
    <m/>
    <m/>
    <n v="134"/>
    <n v="1"/>
    <n v="1"/>
    <n v="1"/>
    <n v="0"/>
    <n v="24"/>
    <n v="44"/>
    <n v="4"/>
  </r>
  <r>
    <m/>
    <x v="13"/>
    <s v="A-493-0331"/>
    <s v="10UG"/>
    <x v="0"/>
    <d v="2025-09-02T00:00:00"/>
    <d v="2025-09-04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m/>
    <n v="0"/>
    <n v="0"/>
    <m/>
    <m/>
    <m/>
    <m/>
    <m/>
    <m/>
    <n v="134"/>
    <n v="1"/>
    <n v="1"/>
    <n v="1"/>
    <n v="0"/>
    <n v="24"/>
    <n v="44"/>
    <n v="4"/>
  </r>
  <r>
    <m/>
    <x v="14"/>
    <s v="A-493-0335"/>
    <s v="09ND"/>
    <x v="0"/>
    <d v="2025-09-02T00:00:00"/>
    <d v="2025-09-05T00:00:00"/>
    <m/>
    <d v="1899-12-30T08:00:00"/>
    <d v="1899-12-30T05:00:00"/>
    <d v="1899-12-30T15:00:00"/>
    <d v="1899-12-30T13:00:00"/>
    <d v="1899-12-30T02:00:00"/>
    <d v="1899-12-30T21:00:00"/>
    <s v="LTJG Bozenski"/>
    <m/>
    <m/>
    <n v="45"/>
    <n v="32"/>
    <n v="4"/>
    <m/>
    <n v="0"/>
    <m/>
    <m/>
    <m/>
    <m/>
    <m/>
    <m/>
    <m/>
    <n v="135"/>
    <n v="1"/>
    <n v="1"/>
    <n v="1"/>
    <n v="0"/>
    <n v="32"/>
    <n v="39"/>
    <n v="4"/>
  </r>
  <r>
    <m/>
    <x v="4"/>
    <s v="A-493-0550"/>
    <s v="09K5"/>
    <x v="0"/>
    <d v="2025-09-02T00:00:00"/>
    <d v="2025-09-05T00:00:00"/>
    <m/>
    <d v="1899-12-30T12:00:00"/>
    <d v="1899-12-30T09:00:00"/>
    <d v="1899-12-30T19:00:00"/>
    <d v="1899-12-30T18:00:00"/>
    <d v="1899-12-30T06:00:00"/>
    <d v="1899-12-30T01:00:00"/>
    <s v="TBD"/>
    <m/>
    <m/>
    <n v="45"/>
    <n v="32"/>
    <n v="4"/>
    <m/>
    <m/>
    <m/>
    <m/>
    <m/>
    <m/>
    <m/>
    <m/>
    <m/>
    <n v="135"/>
    <n v="1"/>
    <n v="1"/>
    <n v="1"/>
    <n v="0"/>
    <n v="32"/>
    <n v="45"/>
    <n v="4"/>
  </r>
  <r>
    <m/>
    <x v="21"/>
    <s v="A-493-0083"/>
    <s v="339E"/>
    <x v="64"/>
    <d v="2025-09-05T00:00:00"/>
    <d v="2025-09-05T00:00:00"/>
    <d v="1899-12-30T08:00:00"/>
    <m/>
    <m/>
    <m/>
    <m/>
    <m/>
    <m/>
    <s v="ENV Contractor"/>
    <m/>
    <m/>
    <n v="30"/>
    <n v="8"/>
    <n v="1"/>
    <n v="68"/>
    <m/>
    <m/>
    <m/>
    <m/>
    <m/>
    <m/>
    <m/>
    <m/>
    <n v="135"/>
    <n v="1"/>
    <n v="1"/>
    <n v="1"/>
    <n v="0"/>
    <n v="8"/>
    <n v="30"/>
    <n v="4"/>
  </r>
  <r>
    <s v="USMC"/>
    <x v="9"/>
    <s v="A-493-0012"/>
    <n v="3682"/>
    <x v="2"/>
    <d v="2025-09-08T00:00:00"/>
    <d v="2025-09-12T00:00:00"/>
    <d v="1899-12-30T08:00:00"/>
    <m/>
    <m/>
    <m/>
    <m/>
    <m/>
    <m/>
    <s v="G. Jester"/>
    <m/>
    <m/>
    <n v="40"/>
    <n v="40"/>
    <n v="5"/>
    <n v="0"/>
    <m/>
    <m/>
    <m/>
    <m/>
    <m/>
    <m/>
    <m/>
    <m/>
    <n v="142"/>
    <n v="1"/>
    <n v="1"/>
    <n v="1"/>
    <n v="0"/>
    <n v="40"/>
    <n v="40"/>
    <n v="4"/>
  </r>
  <r>
    <m/>
    <x v="9"/>
    <s v="A-493-0012"/>
    <n v="3682"/>
    <x v="9"/>
    <d v="2025-09-08T00:00:00"/>
    <d v="2025-09-12T00:00:00"/>
    <d v="1899-12-30T08:00:00"/>
    <m/>
    <m/>
    <m/>
    <m/>
    <m/>
    <m/>
    <s v="W. Bailey"/>
    <m/>
    <m/>
    <n v="40"/>
    <n v="40"/>
    <n v="5"/>
    <n v="80"/>
    <m/>
    <m/>
    <m/>
    <m/>
    <m/>
    <m/>
    <m/>
    <m/>
    <n v="142"/>
    <n v="1"/>
    <n v="1"/>
    <n v="1"/>
    <n v="0"/>
    <n v="40"/>
    <n v="40"/>
    <n v="4"/>
  </r>
  <r>
    <m/>
    <x v="36"/>
    <s v="A-493-0077"/>
    <s v="0381"/>
    <x v="65"/>
    <d v="2025-09-08T00:00:00"/>
    <d v="2025-09-10T00:00:00"/>
    <d v="1899-12-30T08:00:00"/>
    <m/>
    <m/>
    <m/>
    <m/>
    <m/>
    <m/>
    <s v="ENV Contractor"/>
    <m/>
    <m/>
    <n v="25"/>
    <n v="24"/>
    <n v="3"/>
    <n v="13"/>
    <m/>
    <m/>
    <m/>
    <m/>
    <m/>
    <m/>
    <m/>
    <m/>
    <n v="140"/>
    <n v="1"/>
    <n v="1"/>
    <n v="1"/>
    <n v="0"/>
    <n v="24"/>
    <n v="25"/>
    <n v="4"/>
  </r>
  <r>
    <m/>
    <x v="36"/>
    <s v="A-493-0077"/>
    <s v="0381"/>
    <x v="38"/>
    <d v="2025-09-08T00:00:00"/>
    <d v="2025-09-10T00:00:00"/>
    <d v="1899-12-30T08:00:00"/>
    <m/>
    <m/>
    <m/>
    <m/>
    <m/>
    <m/>
    <s v="ENV Contractor"/>
    <m/>
    <m/>
    <n v="25"/>
    <n v="24"/>
    <n v="3"/>
    <n v="32"/>
    <m/>
    <m/>
    <m/>
    <m/>
    <m/>
    <m/>
    <m/>
    <m/>
    <n v="140"/>
    <n v="1"/>
    <n v="1"/>
    <n v="1"/>
    <n v="0"/>
    <n v="24"/>
    <n v="22"/>
    <n v="4"/>
  </r>
  <r>
    <m/>
    <x v="1"/>
    <s v="A-570-0100"/>
    <s v="18B7"/>
    <x v="0"/>
    <d v="2025-09-08T00:00:00"/>
    <d v="2025-09-09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m/>
    <m/>
    <m/>
    <m/>
    <m/>
    <m/>
    <m/>
    <m/>
    <m/>
    <n v="139"/>
    <n v="1"/>
    <n v="1"/>
    <n v="1"/>
    <n v="0"/>
    <n v="16"/>
    <n v="44"/>
    <n v="4"/>
  </r>
  <r>
    <m/>
    <x v="34"/>
    <s v="A-493-0103"/>
    <s v="12JY"/>
    <x v="14"/>
    <d v="2025-09-08T00:00:00"/>
    <d v="2025-09-12T00:00:00"/>
    <d v="1899-12-30T08:00:00"/>
    <m/>
    <m/>
    <m/>
    <m/>
    <m/>
    <m/>
    <s v="SOH Contractor"/>
    <m/>
    <m/>
    <n v="25"/>
    <n v="40"/>
    <n v="5"/>
    <n v="125"/>
    <m/>
    <m/>
    <m/>
    <m/>
    <m/>
    <m/>
    <m/>
    <m/>
    <n v="142"/>
    <n v="1"/>
    <n v="1"/>
    <n v="1"/>
    <n v="0"/>
    <n v="40"/>
    <n v="21"/>
    <n v="4"/>
  </r>
  <r>
    <m/>
    <x v="20"/>
    <s v="A-493-0061"/>
    <s v="288E"/>
    <x v="0"/>
    <d v="2025-09-08T00:00:00"/>
    <d v="2025-09-11T00:00:00"/>
    <m/>
    <d v="1899-12-30T10:00:00"/>
    <d v="1899-12-30T07:00:00"/>
    <d v="1899-12-30T17:00:00"/>
    <d v="1899-12-30T16:00:00"/>
    <d v="1899-12-30T04:00:00"/>
    <d v="1899-12-30T23:00:00"/>
    <s v="S. Griffin"/>
    <m/>
    <m/>
    <n v="45"/>
    <n v="30"/>
    <n v="4"/>
    <m/>
    <m/>
    <m/>
    <m/>
    <m/>
    <m/>
    <m/>
    <m/>
    <m/>
    <n v="141"/>
    <n v="1"/>
    <n v="1"/>
    <n v="1"/>
    <n v="0"/>
    <n v="30"/>
    <n v="45"/>
    <n v="4"/>
  </r>
  <r>
    <m/>
    <x v="28"/>
    <s v="A-493-0092"/>
    <n v="5891"/>
    <x v="1"/>
    <d v="2025-09-08T00:00:00"/>
    <d v="2025-09-10T00:00:00"/>
    <d v="1899-12-30T08:00:00"/>
    <m/>
    <m/>
    <m/>
    <m/>
    <m/>
    <m/>
    <s v="W. Mitchell"/>
    <s v="A. Harris"/>
    <m/>
    <n v="25"/>
    <n v="24"/>
    <n v="3"/>
    <m/>
    <n v="0"/>
    <m/>
    <m/>
    <m/>
    <m/>
    <m/>
    <m/>
    <m/>
    <n v="140"/>
    <n v="1"/>
    <n v="1"/>
    <n v="1"/>
    <n v="1"/>
    <n v="12"/>
    <n v="24"/>
    <n v="4"/>
  </r>
  <r>
    <m/>
    <x v="3"/>
    <s v="A-493-0078"/>
    <n v="1228"/>
    <x v="0"/>
    <d v="2025-09-08T00:00:00"/>
    <d v="2025-09-11T00:00:00"/>
    <m/>
    <d v="1899-12-30T12:00:00"/>
    <d v="1899-12-30T09:00:00"/>
    <d v="1899-12-30T19:00:00"/>
    <d v="1899-12-30T18:00:00"/>
    <d v="1899-12-30T06:00:00"/>
    <d v="1899-12-30T01:00:00"/>
    <s v="T. White"/>
    <m/>
    <m/>
    <n v="45"/>
    <n v="32"/>
    <n v="4"/>
    <m/>
    <m/>
    <m/>
    <m/>
    <m/>
    <m/>
    <m/>
    <m/>
    <m/>
    <n v="141"/>
    <n v="1"/>
    <n v="1"/>
    <n v="1"/>
    <n v="0"/>
    <n v="32"/>
    <n v="45"/>
    <n v="4"/>
  </r>
  <r>
    <m/>
    <x v="6"/>
    <s v="A-493-0085"/>
    <n v="3555"/>
    <x v="0"/>
    <d v="2025-09-08T00:00:00"/>
    <d v="2025-09-11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m/>
    <n v="0"/>
    <m/>
    <m/>
    <m/>
    <m/>
    <m/>
    <m/>
    <m/>
    <n v="141"/>
    <n v="1"/>
    <n v="1"/>
    <n v="1"/>
    <n v="0"/>
    <n v="32"/>
    <n v="45"/>
    <n v="4"/>
  </r>
  <r>
    <s v="Marines"/>
    <x v="16"/>
    <s v="A-493-0072"/>
    <s v="713U"/>
    <x v="7"/>
    <d v="2025-09-08T00:00:00"/>
    <d v="2025-09-12T00:00:00"/>
    <d v="1899-12-30T08:00:00"/>
    <m/>
    <m/>
    <m/>
    <m/>
    <m/>
    <m/>
    <s v="A. Harris"/>
    <m/>
    <s v="EMC Stroughn"/>
    <n v="30"/>
    <n v="40"/>
    <n v="5"/>
    <m/>
    <n v="0"/>
    <m/>
    <m/>
    <m/>
    <m/>
    <m/>
    <m/>
    <m/>
    <n v="142"/>
    <n v="1"/>
    <n v="1"/>
    <n v="1"/>
    <n v="0"/>
    <n v="40"/>
    <n v="30"/>
    <n v="4"/>
  </r>
  <r>
    <m/>
    <x v="38"/>
    <s v="A-493-2301"/>
    <s v="05ZD"/>
    <x v="62"/>
    <d v="2025-09-09T00:00:00"/>
    <d v="2025-09-09T00:00:00"/>
    <d v="1899-12-30T08:00:00"/>
    <m/>
    <m/>
    <m/>
    <m/>
    <m/>
    <m/>
    <s v="ENV Contractor"/>
    <m/>
    <m/>
    <n v="30"/>
    <n v="8"/>
    <n v="1"/>
    <n v="62"/>
    <m/>
    <m/>
    <m/>
    <m/>
    <m/>
    <m/>
    <m/>
    <m/>
    <n v="139"/>
    <n v="1"/>
    <n v="1"/>
    <n v="1"/>
    <n v="0"/>
    <n v="8"/>
    <n v="30"/>
    <n v="4"/>
  </r>
  <r>
    <m/>
    <x v="22"/>
    <s v="A-493-2501"/>
    <s v="05ZE"/>
    <x v="62"/>
    <d v="2025-09-10T00:00:00"/>
    <d v="2025-09-10T00:00:00"/>
    <d v="1899-12-30T08:00:00"/>
    <m/>
    <m/>
    <m/>
    <m/>
    <m/>
    <m/>
    <s v="ENV Contractor"/>
    <m/>
    <m/>
    <n v="30"/>
    <n v="8"/>
    <n v="1"/>
    <n v="60"/>
    <m/>
    <m/>
    <m/>
    <m/>
    <m/>
    <m/>
    <m/>
    <m/>
    <n v="140"/>
    <n v="1"/>
    <n v="1"/>
    <n v="1"/>
    <n v="0"/>
    <n v="8"/>
    <n v="30"/>
    <n v="4"/>
  </r>
  <r>
    <m/>
    <x v="21"/>
    <s v="A-493-0083"/>
    <s v="339E"/>
    <x v="38"/>
    <d v="2025-09-11T00:00:00"/>
    <d v="2025-09-11T00:00:00"/>
    <d v="1899-12-30T08:00:00"/>
    <m/>
    <m/>
    <m/>
    <m/>
    <m/>
    <m/>
    <s v="ENV Contractor"/>
    <m/>
    <m/>
    <n v="30"/>
    <n v="8"/>
    <n v="1"/>
    <n v="32"/>
    <m/>
    <m/>
    <m/>
    <m/>
    <m/>
    <m/>
    <m/>
    <m/>
    <n v="141"/>
    <n v="1"/>
    <n v="1"/>
    <n v="1"/>
    <n v="0"/>
    <n v="8"/>
    <n v="28"/>
    <n v="4"/>
  </r>
  <r>
    <m/>
    <x v="0"/>
    <s v="A-322-2604"/>
    <s v="10ZZ"/>
    <x v="0"/>
    <d v="2025-09-15T00:00:00"/>
    <d v="2025-09-17T00:00:00"/>
    <m/>
    <d v="1899-12-30T08:00:00"/>
    <d v="1899-12-30T05:00:00"/>
    <d v="1899-12-30T15:00:00"/>
    <d v="1899-12-30T13:00:00"/>
    <d v="1899-12-30T02:00:00"/>
    <d v="1899-12-30T21:00:00"/>
    <s v="LS1 Scoggins"/>
    <m/>
    <m/>
    <n v="45"/>
    <n v="24"/>
    <n v="3"/>
    <m/>
    <n v="0"/>
    <m/>
    <m/>
    <m/>
    <m/>
    <m/>
    <m/>
    <m/>
    <n v="147"/>
    <n v="1"/>
    <n v="1"/>
    <n v="1"/>
    <n v="0"/>
    <n v="24"/>
    <n v="43"/>
    <n v="4"/>
  </r>
  <r>
    <m/>
    <x v="4"/>
    <s v="A-493-0550"/>
    <s v="09K5"/>
    <x v="0"/>
    <d v="2025-09-15T00:00:00"/>
    <d v="2025-09-18T00:00:00"/>
    <m/>
    <d v="1899-12-30T08:00:00"/>
    <d v="1899-12-30T05:00:00"/>
    <d v="1899-12-30T15:00:00"/>
    <d v="1899-12-30T13:00:00"/>
    <d v="1899-12-30T02:00:00"/>
    <d v="1899-12-30T21:00:00"/>
    <s v="TBD"/>
    <m/>
    <m/>
    <n v="45"/>
    <n v="32"/>
    <n v="4"/>
    <m/>
    <m/>
    <m/>
    <m/>
    <m/>
    <m/>
    <m/>
    <m/>
    <m/>
    <n v="148"/>
    <n v="1"/>
    <n v="1"/>
    <n v="1"/>
    <n v="0"/>
    <n v="32"/>
    <n v="44"/>
    <n v="4"/>
  </r>
  <r>
    <m/>
    <x v="5"/>
    <s v="A-493-0073"/>
    <s v="714S"/>
    <x v="0"/>
    <d v="2025-09-15T00:00:00"/>
    <d v="2025-09-18T00:00:00"/>
    <m/>
    <d v="1899-12-30T02:00:00"/>
    <d v="1899-12-30T23:00:00"/>
    <d v="1899-12-30T09:00:00"/>
    <d v="1899-12-30T08:00:00"/>
    <d v="1899-12-30T20:00:00"/>
    <d v="1899-12-30T15:00:00"/>
    <s v="SOH Contractor"/>
    <m/>
    <m/>
    <n v="30"/>
    <n v="32"/>
    <n v="4"/>
    <n v="45"/>
    <m/>
    <m/>
    <m/>
    <m/>
    <m/>
    <m/>
    <m/>
    <m/>
    <n v="148"/>
    <n v="1"/>
    <n v="1"/>
    <n v="1"/>
    <n v="0"/>
    <n v="32"/>
    <n v="28"/>
    <n v="4"/>
  </r>
  <r>
    <m/>
    <x v="16"/>
    <s v="A-493-0072"/>
    <s v="713U"/>
    <x v="15"/>
    <d v="2025-09-15T00:00:00"/>
    <d v="2025-09-19T00:00:00"/>
    <d v="1899-12-30T08:00:00"/>
    <m/>
    <m/>
    <m/>
    <m/>
    <m/>
    <m/>
    <s v="A. Harris"/>
    <m/>
    <s v="EMC Stroughn"/>
    <n v="30"/>
    <n v="40"/>
    <n v="5"/>
    <m/>
    <n v="0"/>
    <m/>
    <m/>
    <m/>
    <m/>
    <m/>
    <m/>
    <m/>
    <n v="149"/>
    <n v="1"/>
    <n v="1"/>
    <n v="1"/>
    <n v="0"/>
    <n v="40"/>
    <n v="30"/>
    <n v="4"/>
  </r>
  <r>
    <m/>
    <x v="35"/>
    <s v="A-4J-0019"/>
    <s v="28SL/28SM"/>
    <x v="13"/>
    <d v="2025-09-15T00:00:00"/>
    <d v="2025-09-19T00:00:00"/>
    <d v="1899-12-30T08:00:00"/>
    <m/>
    <m/>
    <m/>
    <m/>
    <m/>
    <m/>
    <s v="J. Wilson"/>
    <s v="M. Bailey "/>
    <m/>
    <n v="20"/>
    <n v="40"/>
    <n v="5"/>
    <n v="351"/>
    <n v="0"/>
    <n v="5"/>
    <m/>
    <m/>
    <m/>
    <m/>
    <m/>
    <m/>
    <n v="149"/>
    <n v="1"/>
    <n v="1"/>
    <n v="1"/>
    <n v="1"/>
    <n v="20"/>
    <n v="0"/>
    <n v="4"/>
  </r>
  <r>
    <m/>
    <x v="2"/>
    <s v="A-493-2098"/>
    <s v="09WW"/>
    <x v="0"/>
    <d v="2025-09-15T00:00:00"/>
    <d v="2025-09-17T00:00:00"/>
    <m/>
    <d v="1899-12-30T12:00:00"/>
    <d v="1899-12-30T09:00:00"/>
    <d v="1899-12-30T19:00:00"/>
    <d v="1899-12-30T18:00:00"/>
    <d v="1899-12-30T06:00:00"/>
    <d v="1899-12-30T01:00:00"/>
    <s v="LTJG Bozenski"/>
    <m/>
    <m/>
    <n v="100"/>
    <n v="16"/>
    <n v="2"/>
    <m/>
    <m/>
    <m/>
    <m/>
    <m/>
    <m/>
    <m/>
    <m/>
    <m/>
    <n v="147"/>
    <n v="1"/>
    <n v="1"/>
    <n v="1"/>
    <n v="0"/>
    <n v="16"/>
    <n v="95"/>
    <n v="4"/>
  </r>
  <r>
    <m/>
    <x v="32"/>
    <s v="A-493-0099"/>
    <s v="12JW"/>
    <x v="0"/>
    <d v="2025-09-16T00:00:00"/>
    <d v="2025-09-18T00:00:00"/>
    <m/>
    <d v="1899-12-30T08:00:00"/>
    <d v="1899-12-30T05:00:00"/>
    <d v="1899-12-30T15:00:00"/>
    <d v="1899-12-30T13:00:00"/>
    <d v="1899-12-30T02:00:00"/>
    <d v="1899-12-30T21:00:00"/>
    <s v="V. Kentish"/>
    <m/>
    <m/>
    <n v="45"/>
    <n v="24"/>
    <n v="3"/>
    <m/>
    <m/>
    <m/>
    <m/>
    <m/>
    <m/>
    <m/>
    <m/>
    <m/>
    <n v="148"/>
    <n v="1"/>
    <n v="1"/>
    <n v="1"/>
    <n v="0"/>
    <n v="24"/>
    <n v="41"/>
    <n v="4"/>
  </r>
  <r>
    <m/>
    <x v="33"/>
    <s v="A-493-0075 "/>
    <s v="714U"/>
    <x v="1"/>
    <d v="2025-09-16T00:00:00"/>
    <d v="2025-09-19T00:00:00"/>
    <d v="1899-12-30T08:00:00"/>
    <m/>
    <m/>
    <m/>
    <m/>
    <m/>
    <m/>
    <s v="SOH Contractor"/>
    <m/>
    <m/>
    <n v="30"/>
    <n v="32"/>
    <n v="4"/>
    <n v="61"/>
    <m/>
    <m/>
    <m/>
    <m/>
    <m/>
    <m/>
    <m/>
    <m/>
    <n v="149"/>
    <n v="1"/>
    <n v="1"/>
    <n v="1"/>
    <n v="0"/>
    <n v="32"/>
    <n v="29"/>
    <n v="4"/>
  </r>
  <r>
    <m/>
    <x v="13"/>
    <s v="A-493-0331"/>
    <s v="10UG"/>
    <x v="0"/>
    <d v="2025-09-16T00:00:00"/>
    <d v="2025-09-18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m/>
    <n v="0"/>
    <n v="0"/>
    <m/>
    <m/>
    <m/>
    <m/>
    <m/>
    <m/>
    <n v="148"/>
    <n v="1"/>
    <n v="1"/>
    <n v="1"/>
    <n v="0"/>
    <n v="24"/>
    <n v="45"/>
    <n v="4"/>
  </r>
  <r>
    <m/>
    <x v="24"/>
    <s v="A-493-0013"/>
    <n v="3683"/>
    <x v="24"/>
    <d v="2025-09-17T00:00:00"/>
    <d v="2025-09-19T00:00:00"/>
    <d v="1899-12-30T08:00:00"/>
    <m/>
    <m/>
    <m/>
    <m/>
    <m/>
    <m/>
    <s v="R. Hartel"/>
    <m/>
    <m/>
    <n v="40"/>
    <n v="24"/>
    <n v="3"/>
    <n v="5"/>
    <m/>
    <m/>
    <m/>
    <m/>
    <m/>
    <m/>
    <m/>
    <m/>
    <n v="149"/>
    <n v="1"/>
    <n v="1"/>
    <n v="1"/>
    <n v="0"/>
    <n v="24"/>
    <n v="40"/>
    <n v="4"/>
  </r>
  <r>
    <m/>
    <x v="28"/>
    <s v="A-493-0092"/>
    <n v="5891"/>
    <x v="66"/>
    <d v="2025-09-17T00:00:00"/>
    <d v="2025-09-19T00:00:00"/>
    <d v="1899-12-30T08:00:00"/>
    <m/>
    <m/>
    <m/>
    <m/>
    <m/>
    <m/>
    <s v="A. Harris"/>
    <m/>
    <s v="LS1 Scoggins"/>
    <n v="25"/>
    <n v="24"/>
    <n v="3"/>
    <m/>
    <n v="0"/>
    <m/>
    <m/>
    <m/>
    <m/>
    <m/>
    <m/>
    <m/>
    <n v="149"/>
    <n v="1"/>
    <n v="1"/>
    <n v="1"/>
    <n v="0"/>
    <n v="24"/>
    <n v="25"/>
    <n v="4"/>
  </r>
  <r>
    <m/>
    <x v="30"/>
    <s v="A-493-0665"/>
    <s v="10KW"/>
    <x v="0"/>
    <d v="2025-09-21T00:00:00"/>
    <d v="2025-09-23T00:00:00"/>
    <m/>
    <d v="1899-12-30T19:00:00"/>
    <d v="1899-12-30T16:00:00"/>
    <d v="1899-12-30T02:00:00"/>
    <d v="1899-12-30T00:00:00"/>
    <d v="1899-12-30T13:00:00"/>
    <d v="1899-12-30T08:00:00"/>
    <s v="LSC Kitivi"/>
    <m/>
    <m/>
    <n v="45"/>
    <n v="24"/>
    <n v="3"/>
    <m/>
    <m/>
    <m/>
    <m/>
    <m/>
    <m/>
    <m/>
    <m/>
    <m/>
    <n v="153"/>
    <n v="1"/>
    <n v="1"/>
    <n v="1"/>
    <m/>
    <n v="24"/>
    <n v="44"/>
    <n v="4"/>
  </r>
  <r>
    <s v="Manchester, WA (CNRMA)"/>
    <x v="9"/>
    <s v="A-493-0012"/>
    <n v="3682"/>
    <x v="67"/>
    <d v="2025-09-22T00:00:00"/>
    <d v="2025-09-26T00:00:00"/>
    <d v="1899-12-30T08:00:00"/>
    <m/>
    <m/>
    <m/>
    <m/>
    <m/>
    <m/>
    <s v="R. Hartel"/>
    <m/>
    <m/>
    <n v="40"/>
    <n v="40"/>
    <n v="5"/>
    <n v="35"/>
    <m/>
    <m/>
    <m/>
    <m/>
    <m/>
    <m/>
    <m/>
    <m/>
    <n v="156"/>
    <n v="1"/>
    <n v="1"/>
    <n v="1"/>
    <n v="0"/>
    <n v="40"/>
    <n v="40"/>
    <n v="4"/>
  </r>
  <r>
    <m/>
    <x v="34"/>
    <s v="A-493-0103"/>
    <s v="12JY"/>
    <x v="60"/>
    <d v="2025-09-22T00:00:00"/>
    <d v="2025-09-26T00:00:00"/>
    <d v="1899-12-30T08:00:00"/>
    <m/>
    <m/>
    <m/>
    <m/>
    <m/>
    <m/>
    <m/>
    <m/>
    <m/>
    <n v="25"/>
    <n v="40"/>
    <m/>
    <m/>
    <m/>
    <m/>
    <m/>
    <m/>
    <m/>
    <m/>
    <m/>
    <m/>
    <n v="156"/>
    <n v="1"/>
    <n v="1"/>
    <n v="0"/>
    <n v="0"/>
    <e v="#DIV/0!"/>
    <n v="22"/>
    <m/>
  </r>
  <r>
    <m/>
    <x v="20"/>
    <s v="A-493-0061"/>
    <s v="288E"/>
    <x v="0"/>
    <d v="2025-09-22T00:00:00"/>
    <d v="2025-09-25T00:00:00"/>
    <m/>
    <d v="1899-12-30T08:00:00"/>
    <d v="1899-12-30T05:00:00"/>
    <d v="1899-12-30T15:00:00"/>
    <d v="1899-12-30T13:00:00"/>
    <d v="1899-12-30T02:00:00"/>
    <d v="1899-12-30T21:00:00"/>
    <s v="S. Griffin"/>
    <m/>
    <m/>
    <n v="45"/>
    <n v="30"/>
    <n v="4"/>
    <m/>
    <m/>
    <m/>
    <m/>
    <m/>
    <m/>
    <m/>
    <m/>
    <m/>
    <n v="155"/>
    <n v="1"/>
    <n v="1"/>
    <n v="1"/>
    <n v="0"/>
    <n v="30"/>
    <n v="45"/>
    <n v="4"/>
  </r>
  <r>
    <m/>
    <x v="14"/>
    <s v="A-493-0335"/>
    <s v="09ND"/>
    <x v="0"/>
    <d v="2025-09-22T00:00:00"/>
    <d v="2025-09-25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32"/>
    <n v="4"/>
    <m/>
    <n v="0"/>
    <m/>
    <m/>
    <m/>
    <m/>
    <m/>
    <m/>
    <m/>
    <n v="155"/>
    <n v="1"/>
    <n v="1"/>
    <n v="1"/>
    <n v="0"/>
    <n v="32"/>
    <n v="44"/>
    <n v="4"/>
  </r>
  <r>
    <m/>
    <x v="3"/>
    <s v="A-493-0078"/>
    <n v="1228"/>
    <x v="1"/>
    <d v="2025-09-22T00:00:00"/>
    <d v="2025-09-25T00:00:00"/>
    <d v="1899-12-30T08:00:00"/>
    <m/>
    <m/>
    <m/>
    <m/>
    <m/>
    <m/>
    <s v="T. White"/>
    <m/>
    <m/>
    <n v="45"/>
    <n v="32"/>
    <n v="4"/>
    <m/>
    <m/>
    <m/>
    <m/>
    <m/>
    <m/>
    <m/>
    <m/>
    <m/>
    <n v="155"/>
    <n v="1"/>
    <n v="1"/>
    <n v="1"/>
    <n v="0"/>
    <n v="32"/>
    <n v="45"/>
    <n v="4"/>
  </r>
  <r>
    <m/>
    <x v="6"/>
    <s v="A-493-0085"/>
    <n v="3555"/>
    <x v="0"/>
    <d v="2025-09-22T00:00:00"/>
    <d v="2025-09-25T00:00:00"/>
    <m/>
    <d v="1905-03-14T19:00:00"/>
    <d v="1899-12-30T16:00:00"/>
    <d v="1899-12-30T02:00:00"/>
    <d v="1899-12-30T00:00:00"/>
    <d v="1899-12-30T13:00:00"/>
    <d v="1899-12-30T08:00:00"/>
    <s v="LT Andrew"/>
    <m/>
    <m/>
    <n v="45"/>
    <n v="32"/>
    <n v="4"/>
    <m/>
    <n v="0"/>
    <m/>
    <m/>
    <m/>
    <m/>
    <m/>
    <m/>
    <m/>
    <n v="155"/>
    <n v="1"/>
    <n v="1"/>
    <n v="1"/>
    <n v="0"/>
    <n v="32"/>
    <n v="43"/>
    <n v="4"/>
  </r>
  <r>
    <m/>
    <x v="16"/>
    <s v="A-493-0072"/>
    <s v="713U"/>
    <x v="66"/>
    <d v="2025-09-22T00:00:00"/>
    <d v="2025-09-26T00:00:00"/>
    <d v="1899-12-30T08:00:00"/>
    <m/>
    <m/>
    <m/>
    <m/>
    <m/>
    <m/>
    <s v="A. Harris"/>
    <m/>
    <s v="LS1 Scoggins"/>
    <n v="30"/>
    <n v="40"/>
    <n v="5"/>
    <m/>
    <n v="0"/>
    <m/>
    <m/>
    <m/>
    <m/>
    <m/>
    <m/>
    <m/>
    <n v="156"/>
    <n v="1"/>
    <n v="1"/>
    <n v="1"/>
    <n v="0"/>
    <n v="40"/>
    <n v="23"/>
    <n v="4"/>
  </r>
  <r>
    <s v="Central Europe Focused"/>
    <x v="21"/>
    <s v="A-493-0083"/>
    <s v="339E"/>
    <x v="0"/>
    <d v="2025-09-23T00:00:00"/>
    <d v="2025-09-23T00:00:00"/>
    <m/>
    <d v="1899-12-30T02:00:00"/>
    <d v="1899-12-30T23:00:00"/>
    <d v="1899-12-30T09:00:00"/>
    <d v="1899-12-30T08:00:00"/>
    <d v="1899-12-30T20:00:00"/>
    <d v="1899-12-30T15:00:00"/>
    <s v="ENV Contractor"/>
    <m/>
    <m/>
    <n v="30"/>
    <n v="8"/>
    <n v="1"/>
    <n v="0"/>
    <m/>
    <m/>
    <m/>
    <m/>
    <m/>
    <m/>
    <m/>
    <m/>
    <n v="153"/>
    <n v="1"/>
    <n v="1"/>
    <n v="1"/>
    <n v="0"/>
    <n v="8"/>
    <n v="30"/>
    <n v="4"/>
  </r>
  <r>
    <s v="Kekaha, HI (Barking Sand)"/>
    <x v="24"/>
    <s v="A-493-0013"/>
    <n v="3683"/>
    <x v="68"/>
    <d v="2025-09-24T00:00:00"/>
    <d v="2025-09-26T00:00:00"/>
    <d v="1899-12-30T08:00:00"/>
    <m/>
    <m/>
    <m/>
    <m/>
    <m/>
    <m/>
    <s v="G. Jester"/>
    <m/>
    <m/>
    <n v="40"/>
    <n v="24"/>
    <n v="3"/>
    <n v="0"/>
    <m/>
    <m/>
    <m/>
    <m/>
    <m/>
    <m/>
    <m/>
    <m/>
    <n v="156"/>
    <n v="1"/>
    <n v="1"/>
    <n v="1"/>
    <n v="0"/>
    <n v="24"/>
    <n v="40"/>
    <n v="4"/>
  </r>
  <r>
    <m/>
    <x v="4"/>
    <s v="A-493-0550"/>
    <s v="09K5"/>
    <x v="0"/>
    <d v="2025-09-29T00:00:00"/>
    <d v="2025-10-02T00:00:00"/>
    <m/>
    <d v="1899-12-30T08:00:00"/>
    <d v="1899-12-30T05:00:00"/>
    <d v="1899-12-30T15:00:00"/>
    <d v="1899-12-30T13:00:00"/>
    <d v="1899-12-30T02:00:00"/>
    <d v="1899-12-30T21:00:00"/>
    <s v="TBD"/>
    <m/>
    <m/>
    <n v="45"/>
    <n v="32"/>
    <n v="4"/>
    <m/>
    <m/>
    <m/>
    <m/>
    <m/>
    <m/>
    <m/>
    <m/>
    <m/>
    <n v="162"/>
    <n v="1"/>
    <n v="1"/>
    <n v="1"/>
    <n v="0"/>
    <n v="32"/>
    <n v="43"/>
    <n v="4"/>
  </r>
  <r>
    <m/>
    <x v="32"/>
    <s v="A-493-0099"/>
    <s v="12JW"/>
    <x v="0"/>
    <d v="2025-09-30T00:00:00"/>
    <d v="2025-10-02T00:00:00"/>
    <m/>
    <d v="1899-12-30T12:00:00"/>
    <d v="1899-12-30T09:00:00"/>
    <d v="1899-12-30T19:00:00"/>
    <d v="1899-12-30T18:00:00"/>
    <d v="1899-12-30T06:00:00"/>
    <d v="1899-12-30T01:00:00"/>
    <s v="V. Kentish"/>
    <m/>
    <m/>
    <n v="45"/>
    <n v="24"/>
    <n v="3"/>
    <m/>
    <m/>
    <m/>
    <m/>
    <m/>
    <m/>
    <m/>
    <m/>
    <m/>
    <n v="162"/>
    <n v="1"/>
    <n v="1"/>
    <n v="1"/>
    <n v="0"/>
    <n v="24"/>
    <n v="43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D4" firstHeaderRow="0" firstDataRow="1" firstDataCol="0"/>
  <pivotFields count="3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uotas" fld="17" baseField="0" baseItem="0"/>
    <dataField name="Sum of Graduates" fld="23" baseField="0" baseItem="0"/>
    <dataField name="Sum of Fail" fld="24" baseField="0" baseItem="0"/>
    <dataField name="Sum of No Shows" fld="25" baseField="0" baseItem="0"/>
  </dataFields>
  <formats count="1">
    <format dxfId="179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F306D3-B60B-47D9-B830-6E8B6E9733C3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multipleFieldFilters="0">
  <location ref="A3:A73" firstHeaderRow="1" firstDataRow="1" firstDataCol="1"/>
  <pivotFields count="37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73">
        <item x="49"/>
        <item x="19"/>
        <item x="6"/>
        <item x="27"/>
        <item x="17"/>
        <item m="1" x="70"/>
        <item x="41"/>
        <item x="31"/>
        <item x="20"/>
        <item x="53"/>
        <item x="32"/>
        <item x="7"/>
        <item x="43"/>
        <item x="59"/>
        <item x="14"/>
        <item x="10"/>
        <item x="25"/>
        <item x="23"/>
        <item x="28"/>
        <item x="0"/>
        <item x="64"/>
        <item x="33"/>
        <item x="16"/>
        <item x="9"/>
        <item x="12"/>
        <item x="47"/>
        <item x="44"/>
        <item x="51"/>
        <item x="65"/>
        <item x="48"/>
        <item x="8"/>
        <item x="35"/>
        <item x="40"/>
        <item x="18"/>
        <item x="50"/>
        <item x="67"/>
        <item x="2"/>
        <item x="5"/>
        <item x="60"/>
        <item x="63"/>
        <item x="57"/>
        <item x="46"/>
        <item x="29"/>
        <item x="1"/>
        <item x="4"/>
        <item x="13"/>
        <item x="55"/>
        <item x="37"/>
        <item m="1" x="69"/>
        <item x="34"/>
        <item x="38"/>
        <item x="15"/>
        <item x="42"/>
        <item x="68"/>
        <item x="61"/>
        <item x="62"/>
        <item x="21"/>
        <item x="58"/>
        <item x="11"/>
        <item x="36"/>
        <item x="52"/>
        <item m="1" x="71"/>
        <item x="54"/>
        <item x="45"/>
        <item x="26"/>
        <item x="66"/>
        <item x="24"/>
        <item x="22"/>
        <item x="56"/>
        <item x="39"/>
        <item x="3"/>
        <item x="30"/>
        <item t="default"/>
      </items>
    </pivotField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4"/>
  </rowFields>
  <rowItems count="70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FDD465-E5E6-4142-89AE-AF5E09661663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46" firstHeaderRow="1" firstDataRow="1" firstDataCol="1"/>
  <pivotFields count="37">
    <pivotField showAll="0"/>
    <pivotField axis="axisRow" showAll="0">
      <items count="43">
        <item x="26"/>
        <item x="23"/>
        <item x="37"/>
        <item x="25"/>
        <item x="15"/>
        <item x="18"/>
        <item x="11"/>
        <item x="30"/>
        <item x="12"/>
        <item x="8"/>
        <item x="34"/>
        <item x="19"/>
        <item x="41"/>
        <item x="17"/>
        <item x="9"/>
        <item x="24"/>
        <item x="32"/>
        <item x="33"/>
        <item x="20"/>
        <item x="0"/>
        <item x="36"/>
        <item x="21"/>
        <item x="10"/>
        <item x="27"/>
        <item x="38"/>
        <item x="29"/>
        <item x="28"/>
        <item x="13"/>
        <item x="14"/>
        <item x="4"/>
        <item x="5"/>
        <item x="3"/>
        <item x="6"/>
        <item x="22"/>
        <item x="1"/>
        <item x="40"/>
        <item x="16"/>
        <item x="35"/>
        <item x="2"/>
        <item x="7"/>
        <item x="31"/>
        <item x="39"/>
        <item t="default"/>
      </items>
    </pivotField>
    <pivotField showAll="0"/>
    <pivotField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dataFields count="1">
    <dataField name="Sum of Fail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0F99F6-732A-4D22-BC96-8864BF28522F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G21" firstHeaderRow="0" firstDataRow="1" firstDataCol="1" rowPageCount="1" colPageCount="1"/>
  <pivotFields count="8">
    <pivotField axis="axisPage" multipleItemSelectionAllowed="1" showAll="0" defaultSubtotal="0">
      <items count="13">
        <item x="1"/>
        <item x="2"/>
        <item x="3"/>
        <item x="4"/>
        <item x="5"/>
        <item x="6"/>
        <item x="7"/>
        <item x="8"/>
        <item x="9"/>
        <item x="10"/>
        <item x="11"/>
        <item x="0"/>
        <item x="12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Sum of AST (Arabian Standard Time)" fld="2" baseField="0" baseItem="0"/>
    <dataField name="Sum of CET/CEST (Central European Standard Time)" fld="3" baseField="0" baseItem="0"/>
    <dataField name="Sum of EST/EDT (Eastern Standard Time)" fld="4" baseField="0" baseItem="0"/>
    <dataField name="Sum of HST (Hawaii Standard Time)" fld="5" baseField="0" baseItem="0"/>
    <dataField name="Sum of JST (Japan Standard Time)" fld="6" baseField="0" baseItem="0"/>
    <dataField name="Sum of PST/PDT (Pacific Standard Time)" fld="7" baseField="0" baseItem="0"/>
  </dataFields>
  <formats count="17">
    <format dxfId="1340">
      <pivotArea type="all" dataOnly="0" outline="0" fieldPosition="0"/>
    </format>
    <format dxfId="1339">
      <pivotArea outline="0" collapsedLevelsAreSubtotals="1" fieldPosition="0"/>
    </format>
    <format dxfId="1338">
      <pivotArea field="1" type="button" dataOnly="0" labelOnly="1" outline="0" axis="axisRow" fieldPosition="0"/>
    </format>
    <format dxfId="1337">
      <pivotArea field="1" type="button" dataOnly="0" labelOnly="1" outline="0" axis="axisRow" fieldPosition="0"/>
    </format>
    <format dxfId="1336">
      <pivotArea field="1" type="button" dataOnly="0" labelOnly="1" outline="0" axis="axisRow" fieldPosition="0"/>
    </format>
    <format dxfId="133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34">
      <pivotArea field="1" type="button" dataOnly="0" labelOnly="1" outline="0" axis="axisRow" fieldPosition="0"/>
    </format>
    <format dxfId="133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32">
      <pivotArea field="1" type="button" dataOnly="0" labelOnly="1" outline="0" axis="axisRow" fieldPosition="0"/>
    </format>
    <format dxfId="133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30">
      <pivotArea field="1" type="button" dataOnly="0" labelOnly="1" outline="0" axis="axisRow" fieldPosition="0"/>
    </format>
    <format dxfId="132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28">
      <pivotArea field="1" type="button" dataOnly="0" labelOnly="1" outline="0" axis="axisRow" fieldPosition="0"/>
    </format>
    <format dxfId="132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26">
      <pivotArea field="1" type="button" dataOnly="0" labelOnly="1" outline="0" axis="axisRow" fieldPosition="0"/>
    </format>
    <format dxfId="132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2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FB959A-D80C-4212-86EA-1672B812F437}" name="PivotTable1" cacheId="1" dataOnRows="1" applyNumberFormats="0" applyBorderFormats="0" applyFontFormats="0" applyPatternFormats="0" applyAlignmentFormats="0" applyWidthHeightFormats="1" dataCaption="Course Title" updatedVersion="8" minRefreshableVersion="3" useAutoFormatting="1" itemPrintTitles="1" createdVersion="6" indent="0" outline="1" outlineData="1" multipleFieldFilters="0">
  <location ref="A3:DC26" firstHeaderRow="1" firstDataRow="2" firstDataCol="1" rowPageCount="1" colPageCount="1"/>
  <pivotFields count="25">
    <pivotField axis="axisPage" showAll="0">
      <items count="73">
        <item x="1"/>
        <item x="2"/>
        <item x="3"/>
        <item x="4"/>
        <item x="5"/>
        <item x="6"/>
        <item x="7"/>
        <item x="8"/>
        <item x="9"/>
        <item x="10"/>
        <item x="11"/>
        <item m="1" x="13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14"/>
        <item x="0"/>
        <item x="12"/>
        <item t="default"/>
      </items>
    </pivotField>
    <pivotField axis="axisCol" showAll="0">
      <items count="107">
        <item x="58"/>
        <item x="59"/>
        <item x="60"/>
        <item x="61"/>
        <item x="62"/>
        <item x="63"/>
        <item x="1"/>
        <item x="2"/>
        <item x="3"/>
        <item x="4"/>
        <item x="5"/>
        <item x="6"/>
        <item x="8"/>
        <item x="64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5"/>
        <item x="26"/>
        <item x="65"/>
        <item x="27"/>
        <item x="28"/>
        <item x="29"/>
        <item x="30"/>
        <item x="31"/>
        <item x="32"/>
        <item x="33"/>
        <item x="34"/>
        <item x="66"/>
        <item x="36"/>
        <item x="37"/>
        <item x="38"/>
        <item x="39"/>
        <item x="40"/>
        <item x="41"/>
        <item x="43"/>
        <item x="44"/>
        <item x="45"/>
        <item x="46"/>
        <item x="35"/>
        <item x="42"/>
        <item x="7"/>
        <item x="0"/>
        <item x="24"/>
        <item x="20"/>
        <item x="47"/>
        <item x="48"/>
        <item x="49"/>
        <item x="50"/>
        <item x="51"/>
        <item x="52"/>
        <item x="53"/>
        <item x="54"/>
        <item x="55"/>
        <item x="56"/>
        <item x="57"/>
        <item m="1" x="10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rowItems>
  <colFields count="1">
    <field x="1"/>
  </colFields>
  <colItems count="1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colItems>
  <pageFields count="1">
    <pageField fld="0" hier="-1"/>
  </pageFields>
  <dataFields count="22">
    <dataField name="Sum of Asbestos Inspector" fld="2" baseField="1" baseItem="0"/>
    <dataField name="Sum of Asbestos Inspector Refresher" fld="3" baseField="1" baseItem="0"/>
    <dataField name="Sum of Asbestos Management Planner" fld="4" baseField="0" baseItem="0"/>
    <dataField name="Sum of Asbestos Management Planner Refresher" fld="5" baseField="0" baseItem="0"/>
    <dataField name="Sum of Asbestos Supervisor Initial" fld="6" baseField="0" baseItem="0"/>
    <dataField name="Sum of Asbestos Supervisor Refresher" fld="7" baseField="0" baseItem="0"/>
    <dataField name="Sum of Competent Person for Fall Protection Course" fld="8" baseField="0" baseItem="0"/>
    <dataField name="Sum of Confined Space Safety " fld="9" baseField="0" baseItem="0"/>
    <dataField name="Sum of Construction Safety Standards" fld="10" baseField="0" baseItem="0"/>
    <dataField name="Sum of Emergency Asbestos Response Team" fld="11" baseField="0" baseItem="0"/>
    <dataField name="Sum of Facility Response Team Five Day" fld="12" baseField="0" baseItem="0"/>
    <dataField name="Sum of Facility Response Team Three Day" fld="13" baseField="0" baseItem="0"/>
    <dataField name="Sum of Hazardous Substance Incident Response Management" fld="15" baseField="0" baseItem="0"/>
    <dataField name="Sum of Fire Protection &amp; Life Safety" fld="14" baseField="0" baseItem="0"/>
    <dataField name="Sum of Hazardous Substance Incident Response Management  Refresher" fld="16" baseField="0" baseItem="0"/>
    <dataField name="Sum of Incident Command System 300 " fld="17" baseField="0" baseItem="0"/>
    <dataField name="Sum of Incident Command System 300 Refresher" fld="18" baseField="0" baseItem="0"/>
    <dataField name="Sum of Incident Command System 400 " fld="19" baseField="0" baseItem="0"/>
    <dataField name="Sum of Industrial Noise and Hearing Conservation Program" fld="20" baseField="0" baseItem="0"/>
    <dataField name="Sum of Oil Hazardous Substance Spill Response Tabletop Exercise " fld="21" baseField="0" baseItem="0"/>
    <dataField name="Sum of Respiratory Protection Program Management" fld="22" baseField="0" baseItem="0"/>
    <dataField name="Sum of Tank Managers Course" fld="23" baseField="0" baseItem="0"/>
  </dataFields>
  <formats count="49">
    <format dxfId="1323">
      <pivotArea field="-2" type="button" dataOnly="0" labelOnly="1" outline="0" axis="axisRow" fieldPosition="0"/>
    </format>
    <format dxfId="1322">
      <pivotArea dataOnly="0" labelOnly="1" fieldPosition="0">
        <references count="1">
          <reference field="1" count="0"/>
        </references>
      </pivotArea>
    </format>
    <format dxfId="1321">
      <pivotArea dataOnly="0" labelOnly="1" grandCol="1" outline="0" fieldPosition="0"/>
    </format>
    <format dxfId="1320">
      <pivotArea field="-2" type="button" dataOnly="0" labelOnly="1" outline="0" axis="axisRow" fieldPosition="0"/>
    </format>
    <format dxfId="1319">
      <pivotArea field="-2" type="button" dataOnly="0" labelOnly="1" outline="0" axis="axisRow" fieldPosition="0"/>
    </format>
    <format dxfId="1318">
      <pivotArea field="-2" type="button" dataOnly="0" labelOnly="1" outline="0" axis="axisRow" fieldPosition="0"/>
    </format>
    <format dxfId="1317">
      <pivotArea grandCol="1" outline="0" collapsedLevelsAreSubtotals="1" fieldPosition="0"/>
    </format>
    <format dxfId="1316">
      <pivotArea dataOnly="0" labelOnly="1" grandCol="1" outline="0" fieldPosition="0"/>
    </format>
    <format dxfId="1315">
      <pivotArea grandCol="1" outline="0" collapsedLevelsAreSubtotals="1" fieldPosition="0"/>
    </format>
    <format dxfId="1314">
      <pivotArea dataOnly="0" labelOnly="1" grandCol="1" outline="0" fieldPosition="0"/>
    </format>
    <format dxfId="1313">
      <pivotArea grandCol="1" outline="0" collapsedLevelsAreSubtotals="1" fieldPosition="0"/>
    </format>
    <format dxfId="1312">
      <pivotArea dataOnly="0" labelOnly="1" grandCol="1" outline="0" fieldPosition="0"/>
    </format>
    <format dxfId="1311">
      <pivotArea grandCol="1" outline="0" collapsedLevelsAreSubtotals="1" fieldPosition="0"/>
    </format>
    <format dxfId="1310">
      <pivotArea dataOnly="0" labelOnly="1" grandCol="1" outline="0" fieldPosition="0"/>
    </format>
    <format dxfId="1309">
      <pivotArea dataOnly="0" labelOnly="1" fieldPosition="0">
        <references count="1">
          <reference field="1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308">
      <pivotArea outline="0" collapsedLevelsAreSubtotals="1" fieldPosition="0">
        <references count="1">
          <reference field="1" count="0" selected="0"/>
        </references>
      </pivotArea>
    </format>
    <format dxfId="1307">
      <pivotArea dataOnly="0" labelOnly="1" outline="0" fieldPosition="0">
        <references count="1">
          <reference field="4294967294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306">
      <pivotArea grandCol="1" outline="0" collapsedLevelsAreSubtotals="1" fieldPosition="0"/>
    </format>
    <format dxfId="1305">
      <pivotArea dataOnly="0" labelOnly="1" grandCol="1" outline="0" fieldPosition="0"/>
    </format>
    <format dxfId="1304">
      <pivotArea dataOnly="0" labelOnly="1" fieldPosition="0">
        <references count="1">
          <reference field="1" count="5">
            <x v="45"/>
            <x v="46"/>
            <x v="47"/>
            <x v="48"/>
            <x v="49"/>
          </reference>
        </references>
      </pivotArea>
    </format>
    <format dxfId="1303">
      <pivotArea grandCol="1" outline="0" collapsedLevelsAreSubtotals="1" fieldPosition="0"/>
    </format>
    <format dxfId="1302">
      <pivotArea dataOnly="0" labelOnly="1" grandCol="1" outline="0" fieldPosition="0"/>
    </format>
    <format dxfId="1301">
      <pivotArea dataOnly="0" labelOnly="1" fieldPosition="0">
        <references count="1">
          <reference field="1" count="4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1300">
      <pivotArea dataOnly="0" outline="0" fieldPosition="0">
        <references count="1">
          <reference field="4294967294" count="1">
            <x v="14"/>
          </reference>
        </references>
      </pivotArea>
    </format>
    <format dxfId="1299">
      <pivotArea dataOnly="0" outline="0" fieldPosition="0">
        <references count="1">
          <reference field="4294967294" count="1">
            <x v="12"/>
          </reference>
        </references>
      </pivotArea>
    </format>
    <format dxfId="1298">
      <pivotArea collapsedLevelsAreSubtotals="1" fieldPosition="0">
        <references count="1">
          <reference field="4294967294" count="5">
            <x v="10"/>
            <x v="11"/>
            <x v="12"/>
            <x v="13"/>
            <x v="14"/>
          </reference>
        </references>
      </pivotArea>
    </format>
    <format dxfId="1297">
      <pivotArea dataOnly="0" labelOnly="1" outline="0" fieldPosition="0">
        <references count="1">
          <reference field="4294967294" count="5">
            <x v="10"/>
            <x v="11"/>
            <x v="12"/>
            <x v="13"/>
            <x v="14"/>
          </reference>
        </references>
      </pivotArea>
    </format>
    <format dxfId="1296">
      <pivotArea collapsedLevelsAreSubtotals="1" fieldPosition="0">
        <references count="1">
          <reference field="4294967294" count="3">
            <x v="12"/>
            <x v="13"/>
            <x v="14"/>
          </reference>
        </references>
      </pivotArea>
    </format>
    <format dxfId="129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294">
      <pivotArea collapsedLevelsAreSubtotals="1" fieldPosition="0">
        <references count="1">
          <reference field="4294967294" count="2">
            <x v="10"/>
            <x v="11"/>
          </reference>
        </references>
      </pivotArea>
    </format>
    <format dxfId="1293">
      <pivotArea dataOnly="0" labelOnly="1" outline="0" fieldPosition="0">
        <references count="1">
          <reference field="4294967294" count="2">
            <x v="10"/>
            <x v="11"/>
          </reference>
        </references>
      </pivotArea>
    </format>
    <format dxfId="1292">
      <pivotArea dataOnly="0" labelOnly="1" fieldPosition="0">
        <references count="1">
          <reference field="1" count="1">
            <x v="27"/>
          </reference>
        </references>
      </pivotArea>
    </format>
    <format dxfId="1291">
      <pivotArea dataOnly="0" labelOnly="1" fieldPosition="0">
        <references count="1">
          <reference field="1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1290">
      <pivotArea dataOnly="0" labelOnly="1" fieldPosition="0">
        <references count="1">
          <reference field="1" count="11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289">
      <pivotArea collapsedLevelsAreSubtotals="1" fieldPosition="0">
        <references count="1">
          <reference field="4294967294" count="1">
            <x v="6"/>
          </reference>
        </references>
      </pivotArea>
    </format>
    <format dxfId="128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287">
      <pivotArea collapsedLevelsAreSubtotals="1" fieldPosition="0">
        <references count="1">
          <reference field="4294967294" count="1">
            <x v="9"/>
          </reference>
        </references>
      </pivotArea>
    </format>
    <format dxfId="128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285">
      <pivotArea collapsedLevelsAreSubtotals="1" fieldPosition="0">
        <references count="1">
          <reference field="4294967294" count="1">
            <x v="10"/>
          </reference>
        </references>
      </pivotArea>
    </format>
    <format dxfId="1284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283">
      <pivotArea collapsedLevelsAreSubtotals="1" fieldPosition="0">
        <references count="1">
          <reference field="4294967294" count="1">
            <x v="11"/>
          </reference>
        </references>
      </pivotArea>
    </format>
    <format dxfId="1282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281">
      <pivotArea collapsedLevelsAreSubtotals="1" fieldPosition="0">
        <references count="1">
          <reference field="4294967294" count="1">
            <x v="18"/>
          </reference>
        </references>
      </pivotArea>
    </format>
    <format dxfId="1280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279">
      <pivotArea collapsedLevelsAreSubtotals="1" fieldPosition="0">
        <references count="1">
          <reference field="4294967294" count="1">
            <x v="20"/>
          </reference>
        </references>
      </pivotArea>
    </format>
    <format dxfId="1278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1277">
      <pivotArea outline="0" collapsedLevelsAreSubtotals="1" fieldPosition="0">
        <references count="1">
          <reference field="1" count="1" selected="0">
            <x v="34"/>
          </reference>
        </references>
      </pivotArea>
    </format>
    <format dxfId="1276">
      <pivotArea type="topRight" dataOnly="0" labelOnly="1" outline="0" offset="AH1" fieldPosition="0"/>
    </format>
    <format dxfId="1275">
      <pivotArea dataOnly="0" labelOnly="1" fieldPosition="0">
        <references count="1">
          <reference field="1" count="1">
            <x v="3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3112" displayName="Table3112" ref="B5:N43" headerRowDxfId="1820" dataDxfId="1819" totalsRowDxfId="1817" tableBorderDxfId="1818" totalsRowBorderDxfId="1816">
  <autoFilter ref="B5:N43" xr:uid="{00000000-0009-0000-0100-000001000000}"/>
  <sortState xmlns:xlrd2="http://schemas.microsoft.com/office/spreadsheetml/2017/richdata2" ref="B6:Y41">
    <sortCondition ref="D4:D40"/>
  </sortState>
  <tableColumns count="13">
    <tableColumn id="1" xr3:uid="{00000000-0010-0000-0400-000001000000}" name="Courses - Planned vs Need (Active Courses)" totalsRowLabel="Total" dataDxfId="1815" totalsRowDxfId="1814"/>
    <tableColumn id="2" xr3:uid="{00000000-0010-0000-0400-000002000000}" name="CTR" dataDxfId="1813" totalsRowDxfId="1812"/>
    <tableColumn id="3" xr3:uid="{00000000-0010-0000-0400-000003000000}" name="Dept" dataDxfId="1811" totalsRowDxfId="1810"/>
    <tableColumn id="4" xr3:uid="{00000000-0010-0000-0400-000004000000}" name="Course Offerings Todate" totalsRowFunction="sum" dataDxfId="1809" totalsRowDxfId="1808">
      <calculatedColumnFormula>COUNTIFS(Table2[Course Title],Table3112[[#This Row],[Courses - Planned vs Need (Active Courses)]],Table2[Open Quotas],"0")</calculatedColumnFormula>
    </tableColumn>
    <tableColumn id="5" xr3:uid="{00000000-0010-0000-0400-000005000000}" name="Online" totalsRowFunction="sum" dataDxfId="1807" totalsRowDxfId="1806">
      <calculatedColumnFormula>COUNTIFS(Table2[Course Title],Table3112[[#This Row],[Courses - Planned vs Need (Active Courses)]],Table2[Location],"Global Online",Table2[Open Quotas],"0")</calculatedColumnFormula>
    </tableColumn>
    <tableColumn id="6" xr3:uid="{00000000-0010-0000-0400-000006000000}" name="Resident" totalsRowFunction="sum" dataDxfId="1805" totalsRowDxfId="1804">
      <calculatedColumnFormula>Table3112[[#This Row],[Course Offerings Todate]]-Table3112[[#This Row],[Online]]</calculatedColumnFormula>
    </tableColumn>
    <tableColumn id="14" xr3:uid="{00000000-0010-0000-0400-00000E000000}" name="Quotas Per Convening" dataDxfId="1803" totalsRowDxfId="1802"/>
    <tableColumn id="9" xr3:uid="{00000000-0010-0000-0400-000009000000}" name="Quotas Provided" dataDxfId="1801" totalsRowDxfId="1800">
      <calculatedColumnFormula>Table3112[[#This Row],[Course Offerings Todate]]*Table3112[[#This Row],[Quotas Per Convening]]</calculatedColumnFormula>
    </tableColumn>
    <tableColumn id="13" xr3:uid="{00000000-0010-0000-0400-00000D000000}" name="Quotas Used" dataDxfId="1799" totalsRowDxfId="1798">
      <calculatedColumnFormula>SUM(Table3112[[#This Row],[Total Grads]]+Table3112[[#This Row],[Fails]]+Table3112[[#This Row],[No Shows]])</calculatedColumnFormula>
    </tableColumn>
    <tableColumn id="10" xr3:uid="{00000000-0010-0000-0400-00000A000000}" name="Total Grads" totalsRowFunction="sum" dataDxfId="1797" totalsRowDxfId="1796">
      <calculatedColumnFormula>SUMIF(Table2[Course Title],Table3112[[#This Row],[Courses - Planned vs Need (Active Courses)]],Table2[Graduates])</calculatedColumnFormula>
    </tableColumn>
    <tableColumn id="7" xr3:uid="{00000000-0010-0000-0400-000007000000}" name="Fails" dataDxfId="1795" totalsRowDxfId="1794">
      <calculatedColumnFormula>SUMIF(Table2[Course Title],Table3112[[#This Row],[Courses - Planned vs Need (Active Courses)]],Table2[Fail])</calculatedColumnFormula>
    </tableColumn>
    <tableColumn id="11" xr3:uid="{00000000-0010-0000-0400-00000B000000}" name="No Shows" totalsRowFunction="sum" dataDxfId="1793">
      <calculatedColumnFormula>SUMIF(Table2[Course Title],Table3112[[#This Row],[Courses - Planned vs Need (Active Courses)]],Table2[No Shows])</calculatedColumnFormula>
    </tableColumn>
    <tableColumn id="12" xr3:uid="{00000000-0010-0000-0400-00000C000000}" name="Walk-ins" totalsRowFunction="sum" dataDxfId="1792">
      <calculatedColumnFormula>SUMIF(Table2[Course Title],Table3112[[#This Row],[Courses - Planned vs Need (Active Courses)]],Table2[Walk-ins])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B422C7-8178-4A6E-A6BE-A72526B3692B}" name="Table6" displayName="Table6" ref="A3:Y15" totalsRowShown="0">
  <autoFilter ref="A3:Y15" xr:uid="{90B422C7-8178-4A6E-A6BE-A72526B3692B}"/>
  <sortState xmlns:xlrd2="http://schemas.microsoft.com/office/spreadsheetml/2017/richdata2" ref="A4:Y15">
    <sortCondition ref="K3:K15"/>
  </sortState>
  <tableColumns count="25">
    <tableColumn id="1" xr3:uid="{3D421DA6-E286-4B67-8246-33AE44F93D2F}" name="Command"/>
    <tableColumn id="2" xr3:uid="{921A1960-5C85-47F7-9734-14D85D21B7C1}" name="Location/Course Title"/>
    <tableColumn id="3" xr3:uid="{91B0E971-9D0F-48B6-A535-6B82B0B56CC0}" name="Asbestos Inspector"/>
    <tableColumn id="4" xr3:uid="{4C4B0716-6733-4F34-9EA0-6EDBA6EAEB43}" name="Asbestos Inspector Refresher"/>
    <tableColumn id="5" xr3:uid="{E977899F-A981-4606-8EFC-275BA329972B}" name="Asbestos Management Planner"/>
    <tableColumn id="6" xr3:uid="{E3F8035B-0CAC-422B-A4E7-60BF4F0AF8A0}" name="Asbestos Management Planner Refresher"/>
    <tableColumn id="7" xr3:uid="{E593043C-2002-4307-8639-EAEF02A5620E}" name="Asbestos Supervisor Initial"/>
    <tableColumn id="8" xr3:uid="{623059BD-D728-4D4A-A480-8DC11999F6C7}" name="Asbestos Supervisor Refresher"/>
    <tableColumn id="9" xr3:uid="{1E03F65C-2F06-482A-88B6-F97E68D0DFF8}" name="Competent Person for Fall Protection Course"/>
    <tableColumn id="10" xr3:uid="{07D3A5B0-0954-40B1-A8B0-A0279674F14D}" name="Confined Space Safety "/>
    <tableColumn id="11" xr3:uid="{E83727AD-5754-4E02-88F9-29DD47D5CA2B}" name="Construction Safety Standards"/>
    <tableColumn id="12" xr3:uid="{E2AEE1AB-461C-4C4B-B2CC-7EBA492E6979}" name="Emergency Asbestos Response Team"/>
    <tableColumn id="13" xr3:uid="{88D2550D-8290-4EB1-B606-37851D750C83}" name="Facility Response Team Five Day"/>
    <tableColumn id="14" xr3:uid="{A4D018A5-676E-4DF3-960E-634DF99D82F2}" name="Facility Response Team Three Day"/>
    <tableColumn id="15" xr3:uid="{51959371-55AE-47CD-BB01-EC7069AC59EA}" name="Fire Protection &amp; Life Safety"/>
    <tableColumn id="16" xr3:uid="{822E7226-EA13-4D29-AD19-AD29B9833EC2}" name="Hazardous Substance Incident Response Management"/>
    <tableColumn id="17" xr3:uid="{70321E44-8FC6-45E3-B220-2F0497B8285E}" name="Hazardous Substance Incident Response Management  Refresher"/>
    <tableColumn id="18" xr3:uid="{6AC8210E-8DBE-47FB-9AF1-E64BE72B883D}" name="Incident Command System 300 "/>
    <tableColumn id="19" xr3:uid="{61262390-9253-4766-A970-CE0BB066ADF2}" name="Incident Command System 300 Refresher"/>
    <tableColumn id="20" xr3:uid="{14EAFBDA-7A22-44F4-BB3E-37469E8EADE4}" name="Incident Command System 400 "/>
    <tableColumn id="21" xr3:uid="{A14D8C2D-AA3E-4CAF-859D-13E872D3F02C}" name="Industrial Noise and Hearing Conservation Program"/>
    <tableColumn id="22" xr3:uid="{8AC9B75B-19E2-4D61-8988-C190853B6A4C}" name="Oil Hazardous Substance Spill Response Tabletop Exercise "/>
    <tableColumn id="23" xr3:uid="{9EF6440F-CE15-4612-B188-20BD6CE9C980}" name="Respiratory Protection Program Management"/>
    <tableColumn id="24" xr3:uid="{3A2B8E6F-9652-4E82-BECC-9FC509EBDCF7}" name="Tank Managers Course"/>
    <tableColumn id="25" xr3:uid="{72BD6C81-8E37-4164-BC51-BBC6EB7319E9}" name="Total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4D3AAA6-D87B-4AD0-B345-E17FCDBF3401}" name="Table7" displayName="Table7" ref="A3:Y15" totalsRowShown="0">
  <autoFilter ref="A3:Y15" xr:uid="{F4D3AAA6-D87B-4AD0-B345-E17FCDBF3401}"/>
  <sortState xmlns:xlrd2="http://schemas.microsoft.com/office/spreadsheetml/2017/richdata2" ref="A4:Y15">
    <sortCondition ref="I3:I15"/>
  </sortState>
  <tableColumns count="25">
    <tableColumn id="1" xr3:uid="{E766E59A-8A96-4795-A6BB-730C8F5B3D92}" name="Command"/>
    <tableColumn id="2" xr3:uid="{92536367-24D1-4DFE-896C-975BCBFB7935}" name="Location/Course Title"/>
    <tableColumn id="3" xr3:uid="{35476E06-EEB0-4680-A712-20D90362147B}" name="Asbestos Inspector"/>
    <tableColumn id="4" xr3:uid="{5CF48CA8-321C-46F3-BCB6-297439F12BBB}" name="Asbestos Inspector Refresher"/>
    <tableColumn id="5" xr3:uid="{F2E00528-D4FF-40E8-A17E-D1538CE63758}" name="Asbestos Management Planner"/>
    <tableColumn id="6" xr3:uid="{E1C991AD-491D-4E1E-B8EF-C7884AF716BD}" name="Asbestos Management Planner Refresher"/>
    <tableColumn id="7" xr3:uid="{132A6DCF-684F-4B22-8880-BE73BAD809CE}" name="Asbestos Supervisor Initial"/>
    <tableColumn id="8" xr3:uid="{2BAB1A3F-55A5-44B0-9C9D-547BC149648B}" name="Asbestos Supervisor Refresher"/>
    <tableColumn id="9" xr3:uid="{A28B2E9A-7F80-4DCC-A7D8-761B9D752676}" name="Competent Person for Fall Protection Course"/>
    <tableColumn id="10" xr3:uid="{AC1AE372-2363-46ED-ADD0-5C90973A232B}" name="Confined Space Safety "/>
    <tableColumn id="11" xr3:uid="{CE1EAF60-5EF0-4BE8-8BA7-FFE8622BCDDD}" name="Construction Safety Standards"/>
    <tableColumn id="12" xr3:uid="{0D3E761F-0C28-44A3-AAD2-FD4A13DDDD87}" name="Emergency Asbestos Response Team"/>
    <tableColumn id="13" xr3:uid="{224BA0B1-C48B-4C7B-94B6-EBFED82DC4BB}" name="Facility Response Team Five Day"/>
    <tableColumn id="14" xr3:uid="{3553C414-676A-4C61-AEBB-9264184FBFAD}" name="Facility Response Team Three Day"/>
    <tableColumn id="15" xr3:uid="{5AB617AB-665A-411D-93DB-8F26EA67DADD}" name="Fire Protection &amp; Life Safety"/>
    <tableColumn id="16" xr3:uid="{128A4561-D818-4368-B51E-256E2F660A90}" name="Hazardous Substance Incident Response Management"/>
    <tableColumn id="17" xr3:uid="{094F4E89-A5D1-4650-81F5-D3B427C63428}" name="Hazardous Substance Incident Response Management  Refresher"/>
    <tableColumn id="18" xr3:uid="{24FB481A-1B5D-4A67-A940-92A6419FA7FB}" name="Incident Command System 300 "/>
    <tableColumn id="19" xr3:uid="{02A6E327-1665-4258-9619-4589D41AF807}" name="Incident Command System 300 Refresher"/>
    <tableColumn id="20" xr3:uid="{719AB886-8D3B-4B5B-AE83-55DADCD0442A}" name="Incident Command System 400 "/>
    <tableColumn id="21" xr3:uid="{278FD186-93E5-40EB-8010-BE9AA760A2FC}" name="Industrial Noise and Hearing Conservation Program"/>
    <tableColumn id="22" xr3:uid="{C28E94D3-DFE4-463F-AC43-02B42E4D1A03}" name="Oil Hazardous Substance Spill Response Tabletop Exercise "/>
    <tableColumn id="23" xr3:uid="{33587C8E-A082-433E-9D5B-76276FA572A1}" name="Respiratory Protection Program Management"/>
    <tableColumn id="24" xr3:uid="{D2B92A64-1E79-4B5B-9665-A68EF87B6879}" name="Tank Managers Course"/>
    <tableColumn id="25" xr3:uid="{57AD49A1-B2F2-4975-A748-CE6475F1001E}" name="Total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BDB62BC-12AB-41C4-B63B-93E766567BDD}" name="Table12" displayName="Table12" ref="A3:H16" totalsRowShown="0">
  <autoFilter ref="A3:H16" xr:uid="{3BDB62BC-12AB-41C4-B63B-93E766567BDD}"/>
  <sortState xmlns:xlrd2="http://schemas.microsoft.com/office/spreadsheetml/2017/richdata2" ref="A4:H16">
    <sortCondition ref="C3:C16"/>
  </sortState>
  <tableColumns count="8">
    <tableColumn id="1" xr3:uid="{69BAA560-E615-4C4C-A6C6-92AD5BEC184D}" name="Command"/>
    <tableColumn id="2" xr3:uid="{B973BD34-E7DF-4943-9A73-B8424CAE24BE}" name="Course Title/Preferred Time Zone"/>
    <tableColumn id="3" xr3:uid="{CF04A1E6-C0C9-4D24-A5A2-F66463CC66B8}" name="AST (Arabian Standard Time)"/>
    <tableColumn id="4" xr3:uid="{0A94480C-449F-4ECB-A8ED-930438B9E7F4}" name="CET/CEST (Central European Standard Time)"/>
    <tableColumn id="5" xr3:uid="{A93F64DD-E57D-4286-BE27-105865660EDE}" name="EST/EDT (Eastern Standard Time)"/>
    <tableColumn id="6" xr3:uid="{B55EBEDB-2D9B-4A47-855C-C4649890C138}" name="HST (Hawaii Standard Time)"/>
    <tableColumn id="7" xr3:uid="{67ABF3DC-D55A-4B8F-9C58-12EE306A5D84}" name="JST (Japan Standard Time)"/>
    <tableColumn id="8" xr3:uid="{B142A742-C3F1-457B-9536-9DF04C44A114}" name="PST/PDT (Pacific Standard Time)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A3C4CD-1AEA-456F-8412-1F06E9A3464F}" name="Table210" displayName="Table210" ref="A3:AA98" totalsRowCount="1" headerRowDxfId="1790" dataDxfId="1788" totalsRowDxfId="1787" headerRowBorderDxfId="1789">
  <autoFilter ref="A3:AA97" xr:uid="{00000000-0009-0000-0100-000002000000}"/>
  <sortState xmlns:xlrd2="http://schemas.microsoft.com/office/spreadsheetml/2017/richdata2" ref="A4:AA97">
    <sortCondition ref="B3:B97"/>
  </sortState>
  <tableColumns count="27">
    <tableColumn id="1" xr3:uid="{BAAFD926-C9A0-428C-B15B-5AE0D4441A78}" name="Comments" totalsRowLabel="Total" dataDxfId="1786" totalsRowDxfId="1785"/>
    <tableColumn id="2" xr3:uid="{C9C57765-0894-4081-B097-E75909F9477E}" name="Course Title" totalsRowFunction="count" dataDxfId="1784" totalsRowDxfId="1783"/>
    <tableColumn id="3" xr3:uid="{9AD2E90B-E624-4AD8-AA66-86C468D308B6}" name="CIN" dataDxfId="1782" totalsRowDxfId="1781"/>
    <tableColumn id="4" xr3:uid="{2059424E-4D38-4A3D-A11E-FB5EAA05A845}" name="CDP " dataDxfId="1780" totalsRowDxfId="1779"/>
    <tableColumn id="5" xr3:uid="{F7F4FA51-D11C-4625-B18C-A9D9123D27AB}" name="Location" dataDxfId="1778" totalsRowDxfId="1777"/>
    <tableColumn id="6" xr3:uid="{5E81E744-317D-463F-9389-C5B09B3DF59A}" name="Start Date" dataDxfId="1776" totalsRowDxfId="1775"/>
    <tableColumn id="7" xr3:uid="{497A73EC-3068-4F85-8286-58EBC84E5760}" name="End Date" dataDxfId="1774" totalsRowDxfId="1773"/>
    <tableColumn id="26" xr3:uid="{38300BF7-BB27-404B-8134-9D9CA61B2979}" name="Resident Local Start Time of location" dataDxfId="1772" totalsRowDxfId="1771"/>
    <tableColumn id="32" xr3:uid="{25F8C40B-A54D-4C3B-8AF7-ED62F5050D03}" name="EST/EDT Local Live Session Start Time " dataDxfId="1770" totalsRowDxfId="1769"/>
    <tableColumn id="28" xr3:uid="{D52CFE58-A040-46A0-87D4-3CF2E58CAD91}" name="PST/PDT Local Live Session Start Time " dataDxfId="1768" totalsRowDxfId="1767"/>
    <tableColumn id="29" xr3:uid="{27BBFDE4-5D64-451B-AE0D-58261BD2FB64}" name="AST Local Live Session Start Time " dataDxfId="1766" totalsRowDxfId="1765"/>
    <tableColumn id="30" xr3:uid="{FE06AA5B-6C4A-4CD0-BD20-35D0B5B2FAB3}" name="CET/CEST Local Live Session Start Time " dataDxfId="1764" totalsRowDxfId="1763"/>
    <tableColumn id="27" xr3:uid="{AFDE156D-3260-4D6D-AF9C-E213438F87FC}" name="HST Local Live Session Start Time " dataDxfId="1762" totalsRowDxfId="1761"/>
    <tableColumn id="31" xr3:uid="{4CB8A3F0-7857-414F-8249-9D81779473BC}" name="JST Local Live Session Start Time " dataDxfId="1760" totalsRowDxfId="1759"/>
    <tableColumn id="8" xr3:uid="{74037211-E78B-4B02-8F45-4BAF18730BA6}" name="Primary Instructor" dataDxfId="1758" totalsRowDxfId="1757"/>
    <tableColumn id="9" xr3:uid="{99231029-F15D-47CD-8C8B-207611B0BFBB}" name="Instructor 2" dataDxfId="1756" totalsRowDxfId="1755"/>
    <tableColumn id="22" xr3:uid="{47D38A33-73A7-4413-BB6A-5C3FB5FBAA12}" name="Quotas" totalsRowFunction="custom" dataDxfId="1754" totalsRowDxfId="1753">
      <totalsRowFormula>SUBTOTAL(109,Q4:Q97)</totalsRowFormula>
    </tableColumn>
    <tableColumn id="10" xr3:uid="{C018C331-9720-40EE-B6A0-B97372963E2F}" name="Course Length (Days)" totalsRowFunction="sum" dataDxfId="1752" totalsRowDxfId="1751"/>
    <tableColumn id="16" xr3:uid="{376DFCC7-8235-4054-B060-C1BE514DC236}" name="Graduates" totalsRowFunction="custom" dataDxfId="1750" totalsRowDxfId="1749">
      <totalsRowFormula>SUBTOTAL(109,S4:S97)</totalsRowFormula>
    </tableColumn>
    <tableColumn id="17" xr3:uid="{3281B6D9-AEA6-4B9E-B002-4AB8024BDB53}" name="Fail" totalsRowFunction="custom" dataDxfId="1748" totalsRowDxfId="1747">
      <totalsRowFormula>SUBTOTAL(109,T4:T97)</totalsRowFormula>
    </tableColumn>
    <tableColumn id="18" xr3:uid="{746F0B67-7804-4CE8-A1B3-410E28E6D21C}" name="No Shows" totalsRowFunction="custom" dataDxfId="1746" totalsRowDxfId="1745">
      <totalsRowFormula>SUBTOTAL(109,U4:U97)</totalsRowFormula>
    </tableColumn>
    <tableColumn id="19" xr3:uid="{4DA2642C-2B8C-4ED7-B8D2-0280EBB93A1A}" name="Walk-ins" totalsRowFunction="custom" dataDxfId="1744" totalsRowDxfId="1743">
      <totalsRowFormula>SUBTOTAL(109,V4:V97)</totalsRowFormula>
    </tableColumn>
    <tableColumn id="20" xr3:uid="{E7FB79F0-1B30-401D-BBEA-45BCD5DDB5D6}" name="Foreign Grads" totalsRowFunction="custom" dataDxfId="1742" totalsRowDxfId="1741">
      <totalsRowFormula>SUBTOTAL(109,W4:W97)</totalsRowFormula>
    </tableColumn>
    <tableColumn id="21" xr3:uid="{3004AB1E-319E-4220-816D-F0FF56E63E83}" name="Roster Received By" totalsRowFunction="count" dataDxfId="1740" totalsRowDxfId="1739"/>
    <tableColumn id="23" xr3:uid="{5E958FDC-F631-4C7F-A94B-08800003986B}" name="Roster Due" dataDxfId="1738" totalsRowDxfId="1737">
      <calculatedColumnFormula>Table210[[#This Row],[End Date]]+2-TODAY()</calculatedColumnFormula>
    </tableColumn>
    <tableColumn id="24" xr3:uid="{E703E1BA-4AC8-480D-855F-DF04885D67E2}" name="Roster Status" dataDxfId="1736" totalsRowDxfId="1735">
      <calculatedColumnFormula>IF(ISBLANK(Table210[[#This Row],[Roster Received By]]),1,0)</calculatedColumnFormula>
    </tableColumn>
    <tableColumn id="25" xr3:uid="{F4B656DB-AFB0-4A51-81AA-302D7743E75A}" name="Remaining Courses" dataDxfId="1734" totalsRowDxfId="1733">
      <calculatedColumnFormula>IF(Table210[[#This Row],[Start Date]]&gt;TODAY(),1,)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6E6F5B-088A-40BF-9C3A-F5C6AB6AA07B}" name="Table25" displayName="Table25" ref="A3:AA459" totalsRowCount="1" headerRowDxfId="1732" dataDxfId="1730" totalsRowDxfId="1729" headerRowBorderDxfId="1731">
  <autoFilter ref="A3:AA458" xr:uid="{00000000-0009-0000-0100-000002000000}">
    <filterColumn colId="1">
      <filters>
        <filter val="Respiratory Protection Program Management"/>
      </filters>
    </filterColumn>
  </autoFilter>
  <sortState xmlns:xlrd2="http://schemas.microsoft.com/office/spreadsheetml/2017/richdata2" ref="A4:AA458">
    <sortCondition ref="E3:E458"/>
  </sortState>
  <tableColumns count="27">
    <tableColumn id="1" xr3:uid="{C2342F55-DFE4-488E-B515-415ECDB9DFEE}" name="Comments" totalsRowLabel="Total" dataDxfId="1728" totalsRowDxfId="1727"/>
    <tableColumn id="2" xr3:uid="{FADA44B4-44D0-4589-ACE3-E057D0EE9ED2}" name="Course Title" totalsRowFunction="count" dataDxfId="1726" totalsRowDxfId="1725"/>
    <tableColumn id="3" xr3:uid="{9036CA69-9069-4D5E-874C-7662361EE35C}" name="CIN" dataDxfId="1724" totalsRowDxfId="1723"/>
    <tableColumn id="4" xr3:uid="{F6D05D52-65CC-46CE-A322-D3833B543092}" name="CDP " dataDxfId="1722" totalsRowDxfId="1721"/>
    <tableColumn id="5" xr3:uid="{84494C77-A354-48DD-A68C-B34126F79399}" name="Location" dataDxfId="1720" totalsRowDxfId="1719"/>
    <tableColumn id="6" xr3:uid="{6B344705-02DB-4A3E-B950-29A59BECB7AE}" name="Start Date" dataDxfId="1718" totalsRowDxfId="1717"/>
    <tableColumn id="7" xr3:uid="{A94CB4AD-FEBF-4542-9853-FE4AFAB695DD}" name="End Date" dataDxfId="1716" totalsRowDxfId="1715"/>
    <tableColumn id="26" xr3:uid="{CEE49FCC-B7FD-48D9-86A7-497778C9B402}" name="Resident Local Start Time of location" dataDxfId="1714" totalsRowDxfId="1713"/>
    <tableColumn id="32" xr3:uid="{28D528AC-46D1-4984-89F5-C8AA57BB3C78}" name="EST/EDT Local Live Session Start Time " dataDxfId="1712" totalsRowDxfId="1711"/>
    <tableColumn id="28" xr3:uid="{CCD46A9A-8C5F-4B65-A2E4-15C78A2EFFDE}" name="PST/PDT Local Live Session Start Time " dataDxfId="1710" totalsRowDxfId="1709"/>
    <tableColumn id="29" xr3:uid="{993A5040-29B2-4086-8997-65ECC5101CE9}" name="AST Local Live Session Start Time " dataDxfId="1708" totalsRowDxfId="1707"/>
    <tableColumn id="30" xr3:uid="{F63275D8-949E-444B-B741-EB3B1B312C30}" name="CET/CEST Local Live Session Start Time " dataDxfId="1706" totalsRowDxfId="1705"/>
    <tableColumn id="27" xr3:uid="{1F2AC858-CEFC-461C-BEB6-3F9F980B98D0}" name="HST Local Live Session Start Time " dataDxfId="1704" totalsRowDxfId="1703"/>
    <tableColumn id="31" xr3:uid="{811944FF-34B9-4111-9789-402790D81347}" name="JST Local Live Session Start Time " dataDxfId="1702" totalsRowDxfId="1701"/>
    <tableColumn id="8" xr3:uid="{26A837A7-512E-4002-A5EA-E17F742A40B3}" name="Primary Instructor" dataDxfId="1700" totalsRowDxfId="1699"/>
    <tableColumn id="9" xr3:uid="{110ADADB-8A5F-413E-9B6D-D3510F201E55}" name="Instructor 2" dataDxfId="1698" totalsRowDxfId="1697"/>
    <tableColumn id="22" xr3:uid="{314E8877-A83D-4F89-9A04-C49FA04A9C00}" name="Quotas" totalsRowFunction="custom" dataDxfId="1696" totalsRowDxfId="1695">
      <totalsRowFormula>SUBTOTAL(109,Q4:Q458)</totalsRowFormula>
    </tableColumn>
    <tableColumn id="10" xr3:uid="{070B6AB2-187B-4D15-8583-80D8D7BAEF51}" name="Course Length (Days)" totalsRowFunction="sum" dataDxfId="1694" totalsRowDxfId="1693"/>
    <tableColumn id="16" xr3:uid="{59EF79D6-4759-4961-B4E4-C84D569CC012}" name="Graduates" totalsRowFunction="custom" dataDxfId="1692" totalsRowDxfId="1691">
      <totalsRowFormula>SUBTOTAL(109,S4:S458)</totalsRowFormula>
    </tableColumn>
    <tableColumn id="17" xr3:uid="{456FDA1F-D6E9-4ADB-8ED7-487AD8006452}" name="Fail" totalsRowFunction="custom" dataDxfId="1690" totalsRowDxfId="1689">
      <totalsRowFormula>SUBTOTAL(109,T4:T458)</totalsRowFormula>
    </tableColumn>
    <tableColumn id="18" xr3:uid="{E99A8EEE-FD20-4520-8338-07DE4C36BB10}" name="No Shows" totalsRowFunction="custom" dataDxfId="1688" totalsRowDxfId="1687">
      <totalsRowFormula>SUBTOTAL(109,U4:U458)</totalsRowFormula>
    </tableColumn>
    <tableColumn id="19" xr3:uid="{F6D0F8D9-B85B-4A04-B855-7C32689CC1D3}" name="Walk-ins" totalsRowFunction="custom" dataDxfId="1686" totalsRowDxfId="1685">
      <totalsRowFormula>SUBTOTAL(109,V4:V458)</totalsRowFormula>
    </tableColumn>
    <tableColumn id="20" xr3:uid="{2972677F-C901-4563-B7AA-465DF536AC9B}" name="Foreign Grads" totalsRowFunction="custom" dataDxfId="1684" totalsRowDxfId="1683">
      <totalsRowFormula>SUBTOTAL(109,W4:W458)</totalsRowFormula>
    </tableColumn>
    <tableColumn id="21" xr3:uid="{998C0827-BA12-4F50-BEA2-964641788D4D}" name="Roster Received By" totalsRowFunction="count" dataDxfId="1682" totalsRowDxfId="1681"/>
    <tableColumn id="23" xr3:uid="{82FA31EB-B1DA-4D72-BC1B-6A746B50E502}" name="Roster Due" dataDxfId="1680" totalsRowDxfId="1679">
      <calculatedColumnFormula>Table25[[#This Row],[End Date]]+2-TODAY()</calculatedColumnFormula>
    </tableColumn>
    <tableColumn id="24" xr3:uid="{06F0B8B2-51E0-478B-A50A-B49B83291699}" name="Roster Status" dataDxfId="1678" totalsRowDxfId="1677">
      <calculatedColumnFormula>IF(ISBLANK(Table25[[#This Row],[Roster Received By]]),1,0)</calculatedColumnFormula>
    </tableColumn>
    <tableColumn id="25" xr3:uid="{2C2F4313-A044-43BA-9248-3798C2B624F2}" name="Remaining Courses" dataDxfId="1676" totalsRowDxfId="1675">
      <calculatedColumnFormula>IF(Table25[[#This Row],[Start Date]]&gt;TODAY(),1,)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5C658B-52C9-44EA-956B-750298760CCD}" name="Table24" displayName="Table24" ref="A3:AA459" totalsRowCount="1" headerRowDxfId="1674" dataDxfId="1672" totalsRowDxfId="1671" headerRowBorderDxfId="1673">
  <autoFilter ref="A3:AA458" xr:uid="{00000000-0009-0000-0100-000002000000}"/>
  <sortState xmlns:xlrd2="http://schemas.microsoft.com/office/spreadsheetml/2017/richdata2" ref="A4:AF458">
    <sortCondition ref="F3:F458"/>
  </sortState>
  <tableColumns count="27">
    <tableColumn id="1" xr3:uid="{79149F88-7EB9-4500-98DE-34ACE96F92DF}" name="Comments" totalsRowLabel="Total" dataDxfId="1670" totalsRowDxfId="1669"/>
    <tableColumn id="2" xr3:uid="{F6626155-689F-42BD-B038-A9B6806D808B}" name="Course Title" totalsRowFunction="count" dataDxfId="1668" totalsRowDxfId="1667"/>
    <tableColumn id="3" xr3:uid="{2BC95441-E66A-4135-8D3C-CDB15DB807EB}" name="CIN" dataDxfId="1666" totalsRowDxfId="1665"/>
    <tableColumn id="4" xr3:uid="{5F4B4B93-BD47-404A-8200-98910040B224}" name="CDP " dataDxfId="1664" totalsRowDxfId="1663"/>
    <tableColumn id="5" xr3:uid="{75B93F82-D13A-48E6-A447-867B8BB4C082}" name="Location" dataDxfId="1662" totalsRowDxfId="1661"/>
    <tableColumn id="6" xr3:uid="{86ACFDED-2593-4FC8-81CA-6390274D7A4F}" name="Start Date" dataDxfId="1660" totalsRowDxfId="1659"/>
    <tableColumn id="7" xr3:uid="{A6DA2D01-C088-4F58-8562-2F71A85EC272}" name="End Date" dataDxfId="1658" totalsRowDxfId="1657"/>
    <tableColumn id="26" xr3:uid="{2D89D048-98FA-4BEA-AF58-DD1A02D5E0E9}" name="Resident Local Start Time of location" dataDxfId="1656" totalsRowDxfId="1655"/>
    <tableColumn id="32" xr3:uid="{63F1EBA8-4CC8-40EB-B334-FDEC4434C6F8}" name="EST/EDT Local Live Session Start Time " dataDxfId="1654" totalsRowDxfId="1653"/>
    <tableColumn id="28" xr3:uid="{1D59791F-65C2-4033-BA1D-526F41A66111}" name="PST/PDT Local Live Session Start Time " dataDxfId="1652" totalsRowDxfId="1651"/>
    <tableColumn id="29" xr3:uid="{FDBC9AC7-3DA8-4EDC-B313-6C1EC42A0724}" name="AST Local Live Session Start Time " dataDxfId="1650" totalsRowDxfId="1649"/>
    <tableColumn id="30" xr3:uid="{B4537B98-89A4-4540-9610-33CC67D27420}" name="CET/CEST Local Live Session Start Time " dataDxfId="1648" totalsRowDxfId="1647"/>
    <tableColumn id="27" xr3:uid="{DC4F443E-C5C8-4650-985A-64A74A57F0ED}" name="HST Local Live Session Start Time " dataDxfId="1646" totalsRowDxfId="1645"/>
    <tableColumn id="31" xr3:uid="{A3EC9C9C-E6B5-400C-8DB0-D74AC3C55418}" name="JST Local Live Session Start Time " dataDxfId="1644" totalsRowDxfId="1643"/>
    <tableColumn id="8" xr3:uid="{BD02D554-0329-4AF6-8DCE-00A7A796FA67}" name="Primary Instructor" dataDxfId="1642" totalsRowDxfId="1641"/>
    <tableColumn id="9" xr3:uid="{6D45BB7D-3A95-43F2-8E16-75C8992FC1E6}" name="Instructor 2" dataDxfId="1640" totalsRowDxfId="1639"/>
    <tableColumn id="22" xr3:uid="{FB315DE8-C79B-4703-A2BA-1F6096A58C1C}" name="Quotas" totalsRowFunction="custom" dataDxfId="1638" totalsRowDxfId="1637">
      <totalsRowFormula>SUBTOTAL(109,Q4:Q458)</totalsRowFormula>
    </tableColumn>
    <tableColumn id="10" xr3:uid="{6FA31DB2-CC19-45F3-AC84-953C36C2A2CC}" name="Course Length (Days)" totalsRowFunction="sum" dataDxfId="1636" totalsRowDxfId="1635"/>
    <tableColumn id="16" xr3:uid="{7D216D85-CEB5-4FB8-8CE9-417C5E68CD91}" name="Graduates" totalsRowFunction="custom" dataDxfId="1634" totalsRowDxfId="1633">
      <totalsRowFormula>SUBTOTAL(109,S4:S458)</totalsRowFormula>
    </tableColumn>
    <tableColumn id="17" xr3:uid="{471F56FE-F439-4B07-921D-CBB3611086BE}" name="Fail" totalsRowFunction="custom" dataDxfId="1632" totalsRowDxfId="1631">
      <totalsRowFormula>SUBTOTAL(109,T4:T458)</totalsRowFormula>
    </tableColumn>
    <tableColumn id="18" xr3:uid="{CD9CAB05-4592-4199-97AF-F24CD2C37859}" name="No Shows" totalsRowFunction="custom" dataDxfId="1630" totalsRowDxfId="1629">
      <totalsRowFormula>SUBTOTAL(109,U4:U458)</totalsRowFormula>
    </tableColumn>
    <tableColumn id="19" xr3:uid="{E508046D-5F43-4F5D-ADC6-09456C05B40C}" name="Walk-ins" totalsRowFunction="custom" dataDxfId="1628" totalsRowDxfId="1627">
      <totalsRowFormula>SUBTOTAL(109,V4:V458)</totalsRowFormula>
    </tableColumn>
    <tableColumn id="20" xr3:uid="{16429556-E9E1-4650-9FA8-7E088FD9ED28}" name="Foreign Grads" totalsRowFunction="custom" dataDxfId="1626" totalsRowDxfId="1625">
      <totalsRowFormula>SUBTOTAL(109,W4:W458)</totalsRowFormula>
    </tableColumn>
    <tableColumn id="21" xr3:uid="{0CB98322-C372-4A0A-932D-68FE742BCA16}" name="Roster Received By" totalsRowFunction="count" dataDxfId="1624" totalsRowDxfId="1623"/>
    <tableColumn id="23" xr3:uid="{47BF087B-B81F-40F2-AD60-EE1F11A5135E}" name="Roster Due" dataDxfId="1622" totalsRowDxfId="1621">
      <calculatedColumnFormula>Table24[[#This Row],[End Date]]+2-TODAY()</calculatedColumnFormula>
    </tableColumn>
    <tableColumn id="24" xr3:uid="{402A7A19-6D60-4923-A13A-58BD63FC3167}" name="Roster Status" dataDxfId="1620" totalsRowDxfId="1619">
      <calculatedColumnFormula>IF(ISBLANK(Table24[[#This Row],[Roster Received By]]),1,0)</calculatedColumnFormula>
    </tableColumn>
    <tableColumn id="25" xr3:uid="{BC58C9C5-5716-41F8-BDD7-54CA141C56B2}" name="Remaining Courses" dataDxfId="1618" totalsRowDxfId="1617">
      <calculatedColumnFormula>IF(Table24[[#This Row],[Start Date]]&gt;TODAY(),1,)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02DC828-C589-4D99-87A8-A672DC7588DB}" name="Table29" displayName="Table29" ref="A3:AA163" totalsRowCount="1" headerRowDxfId="1616" dataDxfId="1614" totalsRowDxfId="1613" headerRowBorderDxfId="1615">
  <autoFilter ref="A3:AA162" xr:uid="{00000000-000C-0000-FFFF-FFFF05000000}"/>
  <sortState xmlns:xlrd2="http://schemas.microsoft.com/office/spreadsheetml/2017/richdata2" ref="A4:AA162">
    <sortCondition ref="B3:B162"/>
  </sortState>
  <tableColumns count="27">
    <tableColumn id="1" xr3:uid="{1C63BBBF-F354-4DD8-97A5-E14E8DC06BD5}" name="Comments" totalsRowLabel="Total" dataDxfId="1612" totalsRowDxfId="1611"/>
    <tableColumn id="2" xr3:uid="{EC508BA6-6C72-4335-91E0-3C34E2FA5459}" name="Course Title" totalsRowFunction="count" dataDxfId="1610" totalsRowDxfId="1609"/>
    <tableColumn id="3" xr3:uid="{14C72745-D101-4D90-811B-D00E2A84DB86}" name="CIN" dataDxfId="1608" totalsRowDxfId="1607"/>
    <tableColumn id="4" xr3:uid="{BE43C45C-F539-4156-A513-F6F46D511BBF}" name="CDP " dataDxfId="1606" totalsRowDxfId="1605"/>
    <tableColumn id="5" xr3:uid="{EEA99D01-363C-402D-84CA-D2BA8060717B}" name="Location" dataDxfId="1604" totalsRowDxfId="1603"/>
    <tableColumn id="6" xr3:uid="{93912A40-5270-402E-9EB6-B7175BE72777}" name="5/5/2025" dataDxfId="1602" totalsRowDxfId="1601"/>
    <tableColumn id="7" xr3:uid="{D8270151-992F-4341-8241-43E92185F552}" name="5/9/2025" dataDxfId="1600" totalsRowDxfId="1599"/>
    <tableColumn id="26" xr3:uid="{D5E0F6FC-5AB0-4179-8C79-410B617C8137}" name="Resident Local Start Time of location" dataDxfId="1598" totalsRowDxfId="1597"/>
    <tableColumn id="32" xr3:uid="{DA8C4426-E87C-408D-AABA-5BE1F2F0E858}" name="EST/EDT Local Live Session Start Time " dataDxfId="1596" totalsRowDxfId="1595"/>
    <tableColumn id="28" xr3:uid="{52767868-9CC6-449B-9860-D651EE14A705}" name="PST/PDT Local Live Session Start Time " dataDxfId="1594" totalsRowDxfId="1593"/>
    <tableColumn id="29" xr3:uid="{BF01AB4E-5396-4307-BCD9-799BF9B3EDE9}" name="AST Local Live Session Start Time " dataDxfId="1592" totalsRowDxfId="1591"/>
    <tableColumn id="30" xr3:uid="{4F050953-EEEB-4365-8396-3D078FE84B26}" name="CET/CEST Local Live Session Start Time " dataDxfId="1590" totalsRowDxfId="1589"/>
    <tableColumn id="27" xr3:uid="{06592FA7-19AC-4CFE-B34A-B515EE59458F}" name="HST Local Live Session Start Time " dataDxfId="1588" totalsRowDxfId="1587"/>
    <tableColumn id="31" xr3:uid="{9A334D73-E6D4-4AAA-8B87-D2750573D432}" name="JST Local Live Session Start Time " dataDxfId="1586" totalsRowDxfId="1585"/>
    <tableColumn id="8" xr3:uid="{D50F1A1A-BAD0-4C81-B1AE-79BB42BAE0AB}" name="Primary Instructor" dataDxfId="1584" totalsRowDxfId="1583"/>
    <tableColumn id="9" xr3:uid="{44080DAF-27C5-42A6-B324-B71AA7B2D720}" name="Instructor 2" dataDxfId="1582" totalsRowDxfId="1581"/>
    <tableColumn id="22" xr3:uid="{1F2F7EA8-BFBA-4C90-9472-5AC738C1BDC9}" name="Quotas" totalsRowFunction="custom" dataDxfId="1580" totalsRowDxfId="1579">
      <totalsRowFormula>SUBTOTAL(109,Q4:Q162)</totalsRowFormula>
    </tableColumn>
    <tableColumn id="10" xr3:uid="{9682ED1C-EBEE-42D9-873B-DC07BF105003}" name="Course Length (Days)" totalsRowFunction="sum" dataDxfId="1578" totalsRowDxfId="1577"/>
    <tableColumn id="16" xr3:uid="{89EB158D-8004-44B7-BD60-DA7F8BD931E3}" name="Graduates" totalsRowFunction="custom" dataDxfId="1576" totalsRowDxfId="1575">
      <totalsRowFormula>SUBTOTAL(109,S4:S162)</totalsRowFormula>
    </tableColumn>
    <tableColumn id="17" xr3:uid="{5CE7BB19-592D-4A30-A3FC-93CB553BECF1}" name="Fail" totalsRowFunction="custom" dataDxfId="1574" totalsRowDxfId="1573">
      <totalsRowFormula>SUBTOTAL(109,T4:T162)</totalsRowFormula>
    </tableColumn>
    <tableColumn id="18" xr3:uid="{E969121D-9457-4E40-8774-BE009C76FE20}" name="No Shows" totalsRowFunction="custom" dataDxfId="1572" totalsRowDxfId="1571">
      <totalsRowFormula>SUBTOTAL(109,U4:U162)</totalsRowFormula>
    </tableColumn>
    <tableColumn id="19" xr3:uid="{59CBB9DB-0E58-45F1-949F-1DDBB3492686}" name="Walk-ins" totalsRowFunction="custom" dataDxfId="1570" totalsRowDxfId="1569">
      <totalsRowFormula>SUBTOTAL(109,V4:V162)</totalsRowFormula>
    </tableColumn>
    <tableColumn id="20" xr3:uid="{2F720BE5-6E9B-485D-A6F1-A12B193EFF55}" name="Foreign Grads" totalsRowFunction="custom" dataDxfId="1568" totalsRowDxfId="1567">
      <totalsRowFormula>SUBTOTAL(109,W4:W162)</totalsRowFormula>
    </tableColumn>
    <tableColumn id="21" xr3:uid="{2BA7E8B0-27F0-4CD2-A350-2024873826D4}" name="Roster Received By" totalsRowFunction="count" dataDxfId="1566" totalsRowDxfId="1565"/>
    <tableColumn id="23" xr3:uid="{8823BE56-DA54-47E0-89A0-59A877FAB73F}" name="Roster Due" dataDxfId="1564" totalsRowDxfId="1563">
      <calculatedColumnFormula>Table29[[#This Row],[5/9/2025]]+2-TODAY()</calculatedColumnFormula>
    </tableColumn>
    <tableColumn id="24" xr3:uid="{E18F92EF-46B0-4D15-B0E4-51F4BD1CF898}" name="Roster Status" dataDxfId="1562" totalsRowDxfId="1561">
      <calculatedColumnFormula>IF(ISBLANK(Table29[[#This Row],[Roster Received By]]),1,0)</calculatedColumnFormula>
    </tableColumn>
    <tableColumn id="25" xr3:uid="{BBFDC5C5-2741-4D98-92A9-5CAF33C3723D}" name="Remaining Courses" dataDxfId="1560" totalsRowDxfId="1559">
      <calculatedColumnFormula>IF(Table29[[#This Row],[5/5/2025]]&gt;TODAY(),1,)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B8DAAA6-B7E9-46ED-93A3-B30D988DBD52}" name="Table11" displayName="Table11" ref="A3:Y16" totalsRowShown="0">
  <autoFilter ref="A3:Y16" xr:uid="{6B8DAAA6-B7E9-46ED-93A3-B30D988DBD52}"/>
  <sortState xmlns:xlrd2="http://schemas.microsoft.com/office/spreadsheetml/2017/richdata2" ref="A4:Y16">
    <sortCondition ref="R3:R16"/>
  </sortState>
  <tableColumns count="25">
    <tableColumn id="1" xr3:uid="{CDF5F771-AD95-4A46-9AE3-73CD6C0312AE}" name="Command"/>
    <tableColumn id="2" xr3:uid="{46F831B0-A1B3-451B-9702-71B4A5AD2810}" name="Location/Course Title"/>
    <tableColumn id="3" xr3:uid="{1D5AA204-6333-47C0-A18E-DF37AE2DC8C9}" name="Asbestos Inspector"/>
    <tableColumn id="4" xr3:uid="{E29B3809-4E14-46C6-B483-E5ABA6825C5B}" name="Asbestos Inspector Refresher"/>
    <tableColumn id="5" xr3:uid="{012FFC54-1F86-461F-9CAF-4874947EF0B8}" name="Asbestos Management Planner"/>
    <tableColumn id="6" xr3:uid="{2FE9E155-4CA0-4ED9-B8BF-34AF5CBFC9FA}" name="Asbestos Management Planner Refresher"/>
    <tableColumn id="7" xr3:uid="{AD414EC2-0976-45BD-93F7-0B4E047D7A22}" name="Asbestos Supervisor Initial"/>
    <tableColumn id="8" xr3:uid="{36507EE7-3AB9-4B70-BCFA-C86C679E2C56}" name="Asbestos Supervisor Refresher"/>
    <tableColumn id="9" xr3:uid="{49F8A813-45DE-40EC-8F5B-85500334DFCF}" name="Competent Person for Fall Protection Course"/>
    <tableColumn id="10" xr3:uid="{AA2C009E-A57E-4907-9851-9DE41E9E6D26}" name="Confined Space Safety "/>
    <tableColumn id="11" xr3:uid="{3F2E6A39-03F0-4934-BB86-5938D558E026}" name="Construction Safety Standards"/>
    <tableColumn id="12" xr3:uid="{CA23CE34-B319-4A38-B43F-BA77C967C4DB}" name="Emergency Asbestos Response Team"/>
    <tableColumn id="13" xr3:uid="{E77D8881-37E0-4F1B-88AB-5431B9785B97}" name="Facility Response Team Five Day"/>
    <tableColumn id="14" xr3:uid="{01B31410-72C9-45A4-AFDD-5E754ED342F3}" name="Facility Response Team Three Day"/>
    <tableColumn id="15" xr3:uid="{20993F47-1F49-46A4-86E3-6050C6EA9745}" name="Fire Protection &amp; Life Safety"/>
    <tableColumn id="16" xr3:uid="{5C00E780-0E8C-429A-85B3-80E5B74B8005}" name="Hazardous Substance Incident Response Management"/>
    <tableColumn id="17" xr3:uid="{20DEC377-DF65-419B-B124-C3615DC4E93F}" name="Hazardous Substance Incident Response Management  Refresher"/>
    <tableColumn id="18" xr3:uid="{97CB522F-60D0-4F5E-BCFE-BA1EDE69908A}" name="Incident Command System 300 "/>
    <tableColumn id="19" xr3:uid="{4711C7D9-A517-4747-B51C-2E09614D7834}" name="Incident Command System 300 Refresher"/>
    <tableColumn id="20" xr3:uid="{56398BD3-BD08-4813-81D2-AAC365976642}" name="Incident Command System 400 "/>
    <tableColumn id="21" xr3:uid="{9F4CFF51-DA05-4690-86C3-371F9E2A61CA}" name="Industrial Noise and Hearing Conservation Program"/>
    <tableColumn id="22" xr3:uid="{EBABE466-8182-4359-B99E-6B6659007381}" name="Oil Hazardous Substance Spill Response Tabletop Exercise "/>
    <tableColumn id="23" xr3:uid="{1649359E-F490-4C42-BF94-7D9080A5DCF6}" name="Respiratory Protection Program Management"/>
    <tableColumn id="24" xr3:uid="{0D475DC8-8292-4E05-A7FD-B2D28DEA2BAE}" name="Tank Managers Course"/>
    <tableColumn id="25" xr3:uid="{380ECDA6-0033-412A-9B47-F3AC5403B3BA}" name="Total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le311" displayName="Table311" ref="B4:AA42" headerRowDxfId="1558" dataDxfId="1557" totalsRowDxfId="1555" tableBorderDxfId="1556" totalsRowBorderDxfId="1554">
  <autoFilter ref="B4:AA42" xr:uid="{00000000-0009-0000-0100-00000A000000}"/>
  <sortState xmlns:xlrd2="http://schemas.microsoft.com/office/spreadsheetml/2017/richdata2" ref="B5:AA42">
    <sortCondition ref="B4:B42"/>
  </sortState>
  <tableColumns count="26">
    <tableColumn id="1" xr3:uid="{00000000-0010-0000-0300-000001000000}" name="Courses - Planned vs Need (Active Courses)" totalsRowLabel="Total" dataDxfId="1553" totalsRowDxfId="1552"/>
    <tableColumn id="2" xr3:uid="{00000000-0010-0000-0300-000002000000}" name="CTR" dataDxfId="1551" totalsRowDxfId="1550"/>
    <tableColumn id="3" xr3:uid="{00000000-0010-0000-0300-000003000000}" name="Dept" dataDxfId="1549" totalsRowDxfId="1548"/>
    <tableColumn id="4" xr3:uid="{00000000-0010-0000-0300-000004000000}" name="Course Offerings" totalsRowFunction="sum" dataDxfId="1547" totalsRowDxfId="1546">
      <calculatedColumnFormula>COUNTIF(Table2[Course Title],Table311[[#This Row],[Courses - Planned vs Need (Active Courses)]])</calculatedColumnFormula>
    </tableColumn>
    <tableColumn id="5" xr3:uid="{00000000-0010-0000-0300-000005000000}" name="Quota per Offering" totalsRowFunction="sum" dataDxfId="1545" totalsRowDxfId="1544"/>
    <tableColumn id="6" xr3:uid="{00000000-0010-0000-0300-000006000000}" name="Planned Quotas" totalsRowFunction="sum" dataDxfId="1543" totalsRowDxfId="1542">
      <calculatedColumnFormula>Table311[[#This Row],[Course Offerings]]*Table311[[#This Row],[Quota per Offering]]</calculatedColumnFormula>
    </tableColumn>
    <tableColumn id="7" xr3:uid="{00000000-0010-0000-0300-000007000000}" name="Fleet Quota Need" totalsRowFunction="sum" dataDxfId="1541"/>
    <tableColumn id="8" xr3:uid="{00000000-0010-0000-0300-000008000000}" name="Difference" totalsRowFunction="sum" dataDxfId="1540" totalsRowDxfId="1539">
      <calculatedColumnFormula>SUM(G5-H5)</calculatedColumnFormula>
    </tableColumn>
    <tableColumn id="9" xr3:uid="{00000000-0010-0000-0300-000009000000}" name="%" totalsRowFunction="average" dataDxfId="1538" totalsRowDxfId="1537" dataCellStyle="Percent">
      <calculatedColumnFormula>SUM(G5/H5)</calculatedColumnFormula>
    </tableColumn>
    <tableColumn id="10" xr3:uid="{00000000-0010-0000-0300-00000A000000}" name="Total Grads" totalsRowFunction="sum" dataDxfId="1536" totalsRowDxfId="1535">
      <calculatedColumnFormula>SUMIF(Table2[Course Title],Table311[[#This Row],[Courses - Planned vs Need (Active Courses)]],Table2[Graduates])</calculatedColumnFormula>
    </tableColumn>
    <tableColumn id="22" xr3:uid="{28CA42B6-D4D4-43E5-B7D1-ED8C085ACFF6}" name="Total Registered" dataDxfId="1534" totalsRowDxfId="1533">
      <calculatedColumnFormula>SUMIF(Table2[Course Title],Table311[[#This Row],[Courses - Planned vs Need (Active Courses)]],Table2[Registered])</calculatedColumnFormula>
    </tableColumn>
    <tableColumn id="25" xr3:uid="{0C2E10DF-0E69-47FB-9063-74F8200FB154}" name="Total Waitlisted" dataDxfId="1532" totalsRowDxfId="1531">
      <calculatedColumnFormula>SUMIF(Table2[Course Title],Table311[[#This Row],[Courses - Planned vs Need (Active Courses)]],Table2[Waitlisted])</calculatedColumnFormula>
    </tableColumn>
    <tableColumn id="26" xr3:uid="{D9C2BAD8-88E1-4594-B8B1-60C41F062128}" name="Total Walk-in" dataDxfId="1530" totalsRowDxfId="1529">
      <calculatedColumnFormula>SUMIF(Table2[Course Title],Table311[[#This Row],[Courses - Planned vs Need (Active Courses)]],Table2[Walk-ins])</calculatedColumnFormula>
    </tableColumn>
    <tableColumn id="11" xr3:uid="{00000000-0010-0000-0300-00000B000000}" name="No Shows" totalsRowFunction="sum" dataDxfId="1528">
      <calculatedColumnFormula>SUMIF(Table2[Course Title],Table311[[#This Row],[Courses - Planned vs Need (Active Courses)]],Table2[No Shows])</calculatedColumnFormula>
    </tableColumn>
    <tableColumn id="12" xr3:uid="{00000000-0010-0000-0300-00000C000000}" name="To date quotas unused (Open quotas+ no shows)" totalsRowFunction="sum" dataDxfId="1527">
      <calculatedColumnFormula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calculatedColumnFormula>
    </tableColumn>
    <tableColumn id="20" xr3:uid="{00000000-0010-0000-0300-000014000000}" name="Sunk Courses due to unused quotas todate" dataDxfId="1526">
      <calculatedColumnFormula>ROUNDDOWN(Table311[[#This Row],[To date quotas unused (Open quotas+ no shows)]]/Table311[[#This Row],[Quota per Offering]],0)</calculatedColumnFormula>
    </tableColumn>
    <tableColumn id="13" xr3:uid="{00000000-0010-0000-0300-00000D000000}" name="Grads needed this FY towards planned quotas" totalsRowFunction="sum" dataDxfId="1525" totalsRowDxfId="1524">
      <calculatedColumnFormula>SUM(G5-K5)</calculatedColumnFormula>
    </tableColumn>
    <tableColumn id="14" xr3:uid="{00000000-0010-0000-0300-00000E000000}" name="# of course completion reports to be processed" totalsRowFunction="sum" dataDxfId="1523">
      <calculatedColumnFormula>COUNTIFS(Table2[Course Title],Table311[[#This Row],[Courses - Planned vs Need (Active Courses)]],Table2[Roster Status],"1",Table2[Remaining Courses],"0")</calculatedColumnFormula>
    </tableColumn>
    <tableColumn id="15" xr3:uid="{00000000-0010-0000-0300-00000F000000}" name="# of courses remaining" totalsRowFunction="sum" dataDxfId="1522" totalsRowDxfId="1521">
      <calculatedColumnFormula>COUNTIFS(Table2[Course Title],Table311[[#This Row],[Courses - Planned vs Need (Active Courses)]],Table2[Remaining Courses],"1")</calculatedColumnFormula>
    </tableColumn>
    <tableColumn id="16" xr3:uid="{00000000-0010-0000-0300-000010000000}" name="To date % of graduates towards Fleet Need" totalsRowFunction="average" dataDxfId="1520" totalsRowDxfId="1519" dataCellStyle="Percent">
      <calculatedColumnFormula>SUM(K5/H5)</calculatedColumnFormula>
    </tableColumn>
    <tableColumn id="23" xr3:uid="{00000000-0010-0000-0300-000017000000}" name="% of available quotas used" totalsRowFunction="custom" dataDxfId="1518" totalsRowDxfId="1517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calculatedColumnFormula>
      <totalsRowFormula>IFERROR((Table311[[#This Row],[Total Grads]]/((Table311[[#This Row],[Course Offerings]]-Table311[[#This Row],['# of course completion reports to be processed]]-Table311[[#This Row],['# of courses remaining]])*Table311[[#This Row],[Quota per Offering]])),0)</totalsRowFormula>
    </tableColumn>
    <tableColumn id="21" xr3:uid="{00000000-0010-0000-0300-000015000000}" name="% of available quotas used counting in no shows" dataDxfId="1516" totalsRowDxfId="1515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calculatedColumnFormula>
    </tableColumn>
    <tableColumn id="24" xr3:uid="{00000000-0010-0000-0300-000018000000}" name="Remaining FY25 QTR 3/QTR 4 Open Quotas" dataDxfId="1514" totalsRowDxfId="1513" dataCellStyle="Percent">
      <calculatedColumnFormula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calculatedColumnFormula>
    </tableColumn>
    <tableColumn id="17" xr3:uid="{00000000-0010-0000-0300-000011000000}" name="# of additional grads if all quotas are filled of course results remaining to be processed" totalsRowFunction="sum" dataDxfId="1512" totalsRowDxfId="1511">
      <calculatedColumnFormula>SUM(S5,T5)*F5</calculatedColumnFormula>
    </tableColumn>
    <tableColumn id="18" xr3:uid="{00000000-0010-0000-0300-000012000000}" name="Difference between completed and fleet need of completed, potentially remaining quotas, and processed courses" totalsRowFunction="sum" dataDxfId="1510" totalsRowDxfId="1509">
      <calculatedColumnFormula>Table311[[#This Row],[Fleet Quota Need]]-Table311[[#This Row],[Total Grads]]</calculatedColumnFormula>
    </tableColumn>
    <tableColumn id="19" xr3:uid="{00000000-0010-0000-0300-000013000000}" name="Comments" dataDxfId="1508" totalsRowDxfId="1507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e2" displayName="Table2" ref="A3:AK534" totalsRowCount="1" headerRowDxfId="1506" dataDxfId="1504" totalsRowDxfId="1503" headerRowBorderDxfId="1505">
  <autoFilter ref="A3:AK533" xr:uid="{00000000-0009-0000-0100-000002000000}"/>
  <sortState xmlns:xlrd2="http://schemas.microsoft.com/office/spreadsheetml/2017/richdata2" ref="A4:AK533">
    <sortCondition ref="F3:F533"/>
  </sortState>
  <tableColumns count="37">
    <tableColumn id="1" xr3:uid="{00000000-0010-0000-0500-000001000000}" name="Comments" totalsRowLabel="Total" dataDxfId="1502" totalsRowDxfId="1501"/>
    <tableColumn id="2" xr3:uid="{00000000-0010-0000-0500-000002000000}" name="Course Title" totalsRowFunction="count" dataDxfId="1500" totalsRowDxfId="1499"/>
    <tableColumn id="3" xr3:uid="{00000000-0010-0000-0500-000003000000}" name="CIN" dataDxfId="1498" totalsRowDxfId="1497">
      <calculatedColumnFormula>VLOOKUP(Table2[[#This Row],[Course Title]],'TSD-Data'!$A$1:$E$56,2,FALSE)</calculatedColumnFormula>
    </tableColumn>
    <tableColumn id="4" xr3:uid="{00000000-0010-0000-0500-000004000000}" name="CDP " dataDxfId="1496" totalsRowDxfId="1495"/>
    <tableColumn id="5" xr3:uid="{00000000-0010-0000-0500-000005000000}" name="Location" dataDxfId="1494" totalsRowDxfId="1493"/>
    <tableColumn id="6" xr3:uid="{00000000-0010-0000-0500-000006000000}" name="Start Date" dataDxfId="1492" totalsRowDxfId="1491"/>
    <tableColumn id="7" xr3:uid="{00000000-0010-0000-0500-000007000000}" name="End Date" dataDxfId="1490" totalsRowDxfId="1489"/>
    <tableColumn id="26" xr3:uid="{00000000-0010-0000-0500-00001A000000}" name="Resident Local Start Time of location" dataDxfId="1488" totalsRowDxfId="1487"/>
    <tableColumn id="32" xr3:uid="{00000000-0010-0000-0500-000020000000}" name="EST/EDT Local Live Session Start Time " dataDxfId="1486" totalsRowDxfId="1485"/>
    <tableColumn id="28" xr3:uid="{00000000-0010-0000-0500-00001C000000}" name="PST/PDT Local Live Session Start Time " dataDxfId="1484" totalsRowDxfId="1483"/>
    <tableColumn id="29" xr3:uid="{00000000-0010-0000-0500-00001D000000}" name="AST Local Live Session Start Time " dataDxfId="1482" totalsRowDxfId="1481"/>
    <tableColumn id="30" xr3:uid="{00000000-0010-0000-0500-00001E000000}" name="CET/CEST Local Live Session Start Time " dataDxfId="1480" totalsRowDxfId="1479"/>
    <tableColumn id="27" xr3:uid="{00000000-0010-0000-0500-00001B000000}" name="HST Local Live Session Start Time " dataDxfId="1478" totalsRowDxfId="1477"/>
    <tableColumn id="31" xr3:uid="{00000000-0010-0000-0500-00001F000000}" name="JST Local Live Session Start Time " dataDxfId="1476" totalsRowDxfId="1475"/>
    <tableColumn id="8" xr3:uid="{00000000-0010-0000-0500-000008000000}" name="Primary Instructor" dataDxfId="1474" totalsRowDxfId="1473"/>
    <tableColumn id="9" xr3:uid="{00000000-0010-0000-0500-000009000000}" name="Instructor 2" dataDxfId="1472" totalsRowDxfId="1471"/>
    <tableColumn id="37" xr3:uid="{6148186B-A7FB-47A2-97C4-82AF31060797}" name="Military Support" dataDxfId="1470" totalsRowDxfId="1469"/>
    <tableColumn id="22" xr3:uid="{00000000-0010-0000-0500-000016000000}" name="Quotas" totalsRowFunction="sum" dataDxfId="1468" totalsRowDxfId="1467">
      <calculatedColumnFormula>VLOOKUP(Table2[[#This Row],[Course Title]],'TSD-Data'!$A$1:$E$56,4,FALSE)</calculatedColumnFormula>
    </tableColumn>
    <tableColumn id="11" xr3:uid="{00000000-0010-0000-0500-00000B000000}" name="Course Length (Hours)" totalsRowFunction="sum" dataDxfId="1466" totalsRowDxfId="1465">
      <calculatedColumnFormula>VLOOKUP(Table2[[#This Row],[Course Title]],'TSD-Data'!$A$1:$F$53,6,FALSE)</calculatedColumnFormula>
    </tableColumn>
    <tableColumn id="10" xr3:uid="{00000000-0010-0000-0500-00000A000000}" name="Course Length (Days)" totalsRowFunction="sum" dataDxfId="1464" totalsRowDxfId="1463"/>
    <tableColumn id="12" xr3:uid="{21BFFE1C-0DFD-4247-9F4C-40FE9E4167CB}" name="FY25 Need" dataDxfId="1462" totalsRowDxfId="1461"/>
    <tableColumn id="13" xr3:uid="{A721A77A-8D69-4276-9351-50C0DE5E1918}" name="Registered" totalsRowFunction="sum" dataDxfId="1460" totalsRowDxfId="1459">
      <calculatedColumnFormula>Table2[[#This Row],[Quotas]]-Table2[[#This Row],[Open Quotas]]</calculatedColumnFormula>
    </tableColumn>
    <tableColumn id="14" xr3:uid="{59F4F846-4AAC-4B1E-BACA-9E42603D1953}" name="Waitlisted" totalsRowFunction="sum" dataDxfId="1458" totalsRowDxfId="1457"/>
    <tableColumn id="16" xr3:uid="{00000000-0010-0000-0500-000010000000}" name="Graduates" totalsRowFunction="sum" dataDxfId="1456" totalsRowDxfId="1455"/>
    <tableColumn id="17" xr3:uid="{00000000-0010-0000-0500-000011000000}" name="Fail" totalsRowFunction="sum" dataDxfId="1454" totalsRowDxfId="1453"/>
    <tableColumn id="18" xr3:uid="{00000000-0010-0000-0500-000012000000}" name="No Shows" totalsRowFunction="sum" dataDxfId="1452" totalsRowDxfId="1451"/>
    <tableColumn id="19" xr3:uid="{00000000-0010-0000-0500-000013000000}" name="Walk-ins" totalsRowFunction="sum" dataDxfId="1450" totalsRowDxfId="1449"/>
    <tableColumn id="20" xr3:uid="{00000000-0010-0000-0500-000014000000}" name="Foreign Grads" totalsRowFunction="sum" dataDxfId="1448" totalsRowDxfId="1447"/>
    <tableColumn id="21" xr3:uid="{00000000-0010-0000-0500-000015000000}" name="Received by" dataDxfId="1446" totalsRowDxfId="1445"/>
    <tableColumn id="23" xr3:uid="{00000000-0010-0000-0500-000017000000}" name="Roster Due" dataDxfId="1444" totalsRowDxfId="1443">
      <calculatedColumnFormula>Table2[[#This Row],[End Date]]+2-TODAY()</calculatedColumnFormula>
    </tableColumn>
    <tableColumn id="24" xr3:uid="{00000000-0010-0000-0500-000018000000}" name="Roster Status" dataDxfId="1442" totalsRowDxfId="1441">
      <calculatedColumnFormula>IF(ISBLANK(Table2[[#This Row],[Received by]]),1,0)</calculatedColumnFormula>
    </tableColumn>
    <tableColumn id="33" xr3:uid="{36BCB078-BF54-4A0A-ACCB-03EDF08FCA74}" name="Remaining Courses" dataDxfId="1440" totalsRowDxfId="1439">
      <calculatedColumnFormula>IF(Table2[[#This Row],[Start Date]]&gt;TODAY(),1,)</calculatedColumnFormula>
    </tableColumn>
    <tableColumn id="36" xr3:uid="{A78DB514-4877-4DC5-964C-04D2F85726FB}" name="1" dataDxfId="1438" totalsRowDxfId="1437">
      <calculatedColumnFormula>IF(ISBLANK(Table2[[#This Row],[Primary Instructor]]),0,1)</calculatedColumnFormula>
    </tableColumn>
    <tableColumn id="35" xr3:uid="{8CE0A7B7-E4D7-4F25-B570-80DA9EC4BF30}" name="2" dataDxfId="1436" totalsRowDxfId="1435">
      <calculatedColumnFormula>IF(ISBLANK(Table2[[#This Row],[Instructor 2]]),0,1)</calculatedColumnFormula>
    </tableColumn>
    <tableColumn id="34" xr3:uid="{0CD40F24-74B8-40FD-886D-07A1C314B27B}" name="Total" dataDxfId="1434" totalsRowDxfId="1433">
      <calculatedColumnFormula>Table2[[#This Row],[Course Length (Hours)]]/(SUM(Table2[[#This Row],[1]:[2]]))</calculatedColumnFormula>
    </tableColumn>
    <tableColumn id="25" xr3:uid="{00000000-0010-0000-0500-000019000000}" name="Open Quotas" dataDxfId="1432" totalsRowDxfId="1431"/>
    <tableColumn id="15" xr3:uid="{F566B582-F1BF-4E5C-9C87-144958A9FE2C}" name="QTR" totalsRowFunction="sum" dataDxfId="1430" totalsRowDxfId="1429"/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A3118E-C2FF-4301-80AC-51741D84EF66}" name="Table1" displayName="Table1" ref="A1:AO41" totalsRowCount="1" headerRowDxfId="1428" dataDxfId="1426" totalsRowDxfId="1424" headerRowBorderDxfId="1427" tableBorderDxfId="1425" totalsRowBorderDxfId="1423">
  <autoFilter ref="A1:AO40" xr:uid="{00000000-0009-0000-0100-000001000000}"/>
  <sortState xmlns:xlrd2="http://schemas.microsoft.com/office/spreadsheetml/2017/richdata2" ref="A2:AO40">
    <sortCondition descending="1" ref="N1:N40"/>
  </sortState>
  <tableColumns count="41">
    <tableColumn id="1" xr3:uid="{17E9A491-F303-46D4-9626-F5789E74EBFB}" name="Course" totalsRowLabel="Total" dataDxfId="1422" totalsRowDxfId="1421"/>
    <tableColumn id="21" xr3:uid="{3F408FA1-84CA-42B4-A66B-4E83441F94CF}" name="Dept" dataDxfId="1420" totalsRowDxfId="1419"/>
    <tableColumn id="8" xr3:uid="{75B0462F-FC99-42B5-A144-1224EC3CF5C3}" name="Format" dataDxfId="1418" totalsRowDxfId="1417"/>
    <tableColumn id="2" xr3:uid="{8D1CDBB7-A68E-4656-A962-8E9287C0A615}" name="CIN" dataDxfId="1416" totalsRowDxfId="1415"/>
    <tableColumn id="3" xr3:uid="{F98863FC-AF15-45C1-92B9-3093E66B905B}" name="CDP" dataDxfId="1414" totalsRowDxfId="1413"/>
    <tableColumn id="4" xr3:uid="{C5D9D349-2578-4E82-BA6C-B850B83DD352}" name="FY25 FLT Quota Need" totalsRowFunction="custom" dataDxfId="1412" totalsRowDxfId="1411">
      <totalsRowFormula>SUBTOTAL(109,F2:F40)</totalsRowFormula>
    </tableColumn>
    <tableColumn id="5" xr3:uid="{9C9D76F1-A94D-4E65-B015-FFC93D8A0BC2}" name="Quota Per Course" dataDxfId="1410" totalsRowDxfId="1409"/>
    <tableColumn id="6" xr3:uid="{2491AE2C-D240-4B26-8E7B-072CE81C672A}" name="FY25 Courses Needed" dataDxfId="1408" totalsRowDxfId="1407">
      <calculatedColumnFormula>F2/G2</calculatedColumnFormula>
    </tableColumn>
    <tableColumn id="7" xr3:uid="{B54F2519-AB75-4B98-853B-1A8152218336}" name="FY25Courses Needed Round Up" totalsRowFunction="sum" dataDxfId="1406" totalsRowDxfId="1405">
      <calculatedColumnFormula>ROUNDUP(H2,0)</calculatedColumnFormula>
    </tableColumn>
    <tableColumn id="27" xr3:uid="{518722CE-C396-4881-9475-6C73C3A47644}" name="NSETC Course # projections" totalsRowFunction="custom" dataDxfId="1404" totalsRowDxfId="1403">
      <totalsRowFormula>SUM(J2:J40)</totalsRowFormula>
    </tableColumn>
    <tableColumn id="41" xr3:uid="{8865793B-65E3-40F4-BB8E-4E2C39C482DD}" name="Hours per course" dataDxfId="1402" totalsRowDxfId="1401"/>
    <tableColumn id="40" xr3:uid="{A4F0AF82-AC40-49F7-BC4F-F86BD9BE023F}" name="Total hours for FY25 to instruct course" dataDxfId="1400" totalsRowDxfId="1399">
      <calculatedColumnFormula>SUM(K2*J2)</calculatedColumnFormula>
    </tableColumn>
    <tableColumn id="26" xr3:uid="{056DA4CC-B487-4129-98B1-D0D210E53FC0}" name="NSETC FLT Needs deficit" totalsRowFunction="custom" dataDxfId="1398" totalsRowDxfId="1397">
      <calculatedColumnFormula>SUM(J2-I2)</calculatedColumnFormula>
      <totalsRowFormula>SUM(J41-I41)</totalsRowFormula>
    </tableColumn>
    <tableColumn id="25" xr3:uid="{830A3EBF-0AEF-499A-A8F2-75EAA9919D0A}" name="NSETC % towards fleet need" dataDxfId="1396" totalsRowDxfId="1395">
      <calculatedColumnFormula>SUM(J2*G2/F2)</calculatedColumnFormula>
    </tableColumn>
    <tableColumn id="9" xr3:uid="{28F75B6E-5E40-47DA-B85B-7F7FBC9597BE}" name="Quotas: All Data" totalsRowFunction="sum" dataDxfId="1394" totalsRowDxfId="1393"/>
    <tableColumn id="10" xr3:uid="{D85E66B0-E922-46B3-A032-80B0A7DE86C4}" name="Courses Needed: All Data" totalsRowFunction="sum" dataDxfId="1392" totalsRowDxfId="1391"/>
    <tableColumn id="20" xr3:uid="{B6EC8756-0FE3-465E-9594-ADCDCFD0D9C9}" name="Column1" dataDxfId="1390" totalsRowDxfId="1389"/>
    <tableColumn id="11" xr3:uid="{D8106336-7D78-402B-AE5E-9C9CBD4E06A0}" name="FY24 Total Courses" totalsRowFunction="custom" dataDxfId="1388" totalsRowDxfId="1387">
      <totalsRowFormula>SUM(R2:R40)</totalsRowFormula>
    </tableColumn>
    <tableColumn id="16" xr3:uid="{774C148E-9669-4491-953E-2DABCE77401C}" name="FY24 Quotas Per Course" totalsRowFunction="custom" dataDxfId="1386" totalsRowDxfId="1385">
      <totalsRowFormula>SUM(S2:S40)</totalsRowFormula>
    </tableColumn>
    <tableColumn id="38" xr3:uid="{A156A3BF-8419-4704-9E28-37F81D604B1D}" name="FY24 Grads" totalsRowFunction="custom" dataDxfId="1384" totalsRowDxfId="1383">
      <totalsRowFormula>SUM(T2:T40)</totalsRowFormula>
    </tableColumn>
    <tableColumn id="37" xr3:uid="{9A9B6172-60A5-4AB8-9B0F-D7399CDD2CBF}" name="FY24 Fails" totalsRowFunction="custom" dataDxfId="1382" totalsRowDxfId="1381">
      <totalsRowFormula>SUBTOTAL(109,U2:U40)</totalsRowFormula>
    </tableColumn>
    <tableColumn id="17" xr3:uid="{45748B26-11B0-4FA7-9816-97D1B5EF5E26}" name="FY24 Average class size" dataDxfId="1380" totalsRowDxfId="1379">
      <calculatedColumnFormula>AVERAGE(T2+U2)/R2</calculatedColumnFormula>
    </tableColumn>
    <tableColumn id="18" xr3:uid="{8C07B26A-8D1B-489E-9CF6-BCA7378AD70A}" name="FY24 FLT Quota Need" totalsRowFunction="custom" dataDxfId="1378" totalsRowDxfId="1377">
      <totalsRowFormula>SUM(W2:W40)</totalsRowFormula>
    </tableColumn>
    <tableColumn id="19" xr3:uid="{C55E6FA2-7BE9-4BA3-94C1-C2B89A603227}" name="FY24 NSETC % towards fleet need" dataDxfId="1376" totalsRowDxfId="1375">
      <calculatedColumnFormula>SUM(T2+U2)/W2</calculatedColumnFormula>
    </tableColumn>
    <tableColumn id="31" xr3:uid="{FF328B56-B055-442E-B83B-A4D49D3C89FE}" name="Column2" dataDxfId="1374" totalsRowDxfId="1373"/>
    <tableColumn id="29" xr3:uid="{ABE3CE00-ADC2-4154-9904-4E0B58499891}" name="FY23 Total Courses" totalsRowFunction="custom" dataDxfId="1372" totalsRowDxfId="1371">
      <totalsRowFormula>SUM(Z2:Z40)</totalsRowFormula>
    </tableColumn>
    <tableColumn id="15" xr3:uid="{5E58208C-1A1B-45E1-A8AF-930468949318}" name="FY23 Quotas Per Course" totalsRowFunction="custom" dataDxfId="1370" totalsRowDxfId="1369">
      <totalsRowFormula>SUM(AA2:AA40)</totalsRowFormula>
    </tableColumn>
    <tableColumn id="14" xr3:uid="{C325CA50-145B-42DA-95A5-CE8566C89794}" name="FY23 Grads" totalsRowFunction="custom" dataDxfId="1368" totalsRowDxfId="1367">
      <totalsRowFormula>SUM(AB2:AB40)</totalsRowFormula>
    </tableColumn>
    <tableColumn id="13" xr3:uid="{7D9C035C-25B2-4463-82ED-E6EB7973B576}" name="FY23 Fails" totalsRowFunction="custom" dataDxfId="1366" totalsRowDxfId="1365">
      <totalsRowFormula>SUM(AK2:AK40)</totalsRowFormula>
    </tableColumn>
    <tableColumn id="12" xr3:uid="{7D924473-2576-4655-89DE-4AE5077D7487}" name="FY23 Average class size" dataDxfId="1364" totalsRowDxfId="1363">
      <calculatedColumnFormula>AVERAGE(AB2+AC2)/Z2</calculatedColumnFormula>
    </tableColumn>
    <tableColumn id="34" xr3:uid="{1EA37877-A651-4831-88BC-B0855F2B56BE}" name="FY23 FLT Quota Need" totalsRowFunction="custom" dataDxfId="1362" totalsRowDxfId="1361">
      <totalsRowFormula>SUM(AE2:AE40)</totalsRowFormula>
    </tableColumn>
    <tableColumn id="33" xr3:uid="{6EED8172-19E6-4CB2-9E46-871861F44BD1}" name="FY23 NSETC % towards fleet need" dataDxfId="1360" totalsRowDxfId="1359">
      <calculatedColumnFormula>SUM(AB2+AC2)/AE2</calculatedColumnFormula>
    </tableColumn>
    <tableColumn id="32" xr3:uid="{FD7AC4DD-F490-4F87-BCD3-EABA6CCB94AC}" name="Column122" dataDxfId="1358" totalsRowDxfId="1357"/>
    <tableColumn id="30" xr3:uid="{EBABABD1-C7AF-42E0-A7A5-372870CA98AD}" name="FY22 Total Courses" totalsRowFunction="sum" dataDxfId="1356" totalsRowDxfId="1355"/>
    <tableColumn id="28" xr3:uid="{286EF9C8-279A-437F-9405-8219D9116D2A}" name="FY22 Quotas Per Course" totalsRowFunction="custom" dataDxfId="1354" totalsRowDxfId="1353">
      <totalsRowFormula>SUM(AI2:AI40)</totalsRowFormula>
    </tableColumn>
    <tableColumn id="24" xr3:uid="{2EDD2D5F-F21F-45CA-B188-E8BECD581FA0}" name="FY22 Grads" totalsRowFunction="custom" dataDxfId="1352" totalsRowDxfId="1351">
      <totalsRowFormula>SUM(AJ2:AJ40)</totalsRowFormula>
    </tableColumn>
    <tableColumn id="36" xr3:uid="{29617C5A-A389-4612-86B7-4F45D3FF9A9F}" name="FY22 Fails" totalsRowFunction="custom" dataDxfId="1350" totalsRowDxfId="1349">
      <totalsRowFormula>SUM(AK2:AK40)</totalsRowFormula>
    </tableColumn>
    <tableColumn id="35" xr3:uid="{D3F196D6-A0C3-44F5-AE94-0079181DF5DC}" name="FY22 Average class size" dataDxfId="1348" totalsRowDxfId="1347"/>
    <tableColumn id="23" xr3:uid="{B55B1D19-F8E0-4398-9C43-9B8A3EE46A05}" name="FY22 FLT Quota Need" totalsRowFunction="custom" dataDxfId="1346" totalsRowDxfId="1345">
      <totalsRowFormula>SUM(AM2:AM40)</totalsRowFormula>
    </tableColumn>
    <tableColumn id="22" xr3:uid="{5E8B28B4-D353-469E-899B-191F68E918BD}" name="FY22 NSETC % towards fleet need" dataDxfId="1344" totalsRowDxfId="1343">
      <calculatedColumnFormula>SUM(AJ2+AK2)/AM2</calculatedColumnFormula>
    </tableColumn>
    <tableColumn id="42" xr3:uid="{B5DDA33B-DE64-4491-99AD-2E79B46A7AE3}" name="Course2" totalsRowLabel="Total" dataDxfId="1342" totalsRowDxfId="1341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9537816-584E-45BC-8B79-A6E26D29FB1D}" name="Table13" displayName="Table13" ref="A3:Y4" totalsRowShown="0">
  <autoFilter ref="A3:Y4" xr:uid="{99537816-584E-45BC-8B79-A6E26D29FB1D}"/>
  <sortState xmlns:xlrd2="http://schemas.microsoft.com/office/spreadsheetml/2017/richdata2" ref="A4:Y4">
    <sortCondition ref="N3:N4"/>
  </sortState>
  <tableColumns count="25">
    <tableColumn id="1" xr3:uid="{0D4818A8-0613-4907-83B7-3351C78B3D36}" name="Command"/>
    <tableColumn id="2" xr3:uid="{3E296298-B26A-46E0-87D8-EB8F4C7A42B5}" name="Location/Course Title"/>
    <tableColumn id="3" xr3:uid="{76F957E1-68DE-4E1B-9579-70F51AC117FF}" name="Asbestos Inspector"/>
    <tableColumn id="4" xr3:uid="{F51396D4-E231-4BB6-98AD-F19562E0F26F}" name="Asbestos Inspector Refresher"/>
    <tableColumn id="5" xr3:uid="{19C52C31-B759-4DB0-9F4D-CC86F5D7EEF8}" name="Asbestos Management Planner"/>
    <tableColumn id="6" xr3:uid="{CCBE4131-BBCE-4A37-BC7A-28C47A25CDEB}" name="Asbestos Management Planner Refresher"/>
    <tableColumn id="7" xr3:uid="{B308F5D2-4789-40B7-9644-1FA1D58C1F75}" name="Asbestos Supervisor Initial"/>
    <tableColumn id="8" xr3:uid="{6777534C-018B-4C2D-8AF0-402140A8BBB7}" name="Asbestos Supervisor Refresher"/>
    <tableColumn id="9" xr3:uid="{DDD20D20-C9BE-4EB2-B41B-7992D8E01D09}" name="Competent Person for Fall Protection Course"/>
    <tableColumn id="10" xr3:uid="{1EC46675-1198-4EB4-AA7E-3353BD861F30}" name="Confined Space Safety "/>
    <tableColumn id="11" xr3:uid="{8EEA679E-A7CA-46ED-87E0-13F347667290}" name="Construction Safety Standards"/>
    <tableColumn id="12" xr3:uid="{98842E77-2B4B-48D1-93D2-4E71D033D94F}" name="Emergency Asbestos Response Team"/>
    <tableColumn id="13" xr3:uid="{BC636471-49A6-4D1E-94A8-14166515797E}" name="Facility Response Team Five Day"/>
    <tableColumn id="14" xr3:uid="{AF9AB3CD-EC8A-4D94-A813-F8714ECCBFD7}" name="Facility Response Team Three Day"/>
    <tableColumn id="15" xr3:uid="{B84476DD-4B47-475C-AF48-FA1E9843C641}" name="Fire Protection &amp; Life Safety"/>
    <tableColumn id="16" xr3:uid="{A46108EB-19C8-4B7B-BBD9-2FBDAA4F47BE}" name="Hazardous Substance Incident Response Management"/>
    <tableColumn id="17" xr3:uid="{781AF24F-FC75-4ACD-92EB-FF2059E9F1BB}" name="Hazardous Substance Incident Response Management  Refresher"/>
    <tableColumn id="18" xr3:uid="{7685E2D4-5238-46C6-B9AB-59480B4EE57A}" name="Incident Command System 300 "/>
    <tableColumn id="19" xr3:uid="{12AB6EEF-C6F0-4921-929F-B11CEC4CFC2C}" name="Incident Command System 300 Refresher"/>
    <tableColumn id="20" xr3:uid="{99FCD6E1-6374-4629-A850-A81E4F9583EC}" name="Incident Command System 400 "/>
    <tableColumn id="21" xr3:uid="{5EC60A3E-AE28-4C94-8EC9-28C2746575E9}" name="Industrial Noise and Hearing Conservation Program"/>
    <tableColumn id="22" xr3:uid="{C7C229FC-99B3-4A7F-83C4-AF2895FE22D6}" name="Oil Hazardous Substance Spill Response Tabletop Exercise "/>
    <tableColumn id="23" xr3:uid="{F26C1772-6DFA-406F-8692-C0828AA48BA8}" name="Respiratory Protection Program Management"/>
    <tableColumn id="24" xr3:uid="{07574640-39C6-4737-BBEF-8382785FD841}" name="Tank Managers Course"/>
    <tableColumn id="25" xr3:uid="{7F612C68-7104-44E4-A5E3-82E823CA10C6}" name="Totals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9E4743-4130-4D92-AD83-3A3839BE8249}" name="Table14" displayName="Table14" ref="A3:Y16" totalsRowShown="0">
  <autoFilter ref="A3:Y16" xr:uid="{319E4743-4130-4D92-AD83-3A3839BE8249}"/>
  <sortState xmlns:xlrd2="http://schemas.microsoft.com/office/spreadsheetml/2017/richdata2" ref="A4:Y16">
    <sortCondition ref="I3:I16"/>
  </sortState>
  <tableColumns count="25">
    <tableColumn id="1" xr3:uid="{A5FE80CB-5560-4C47-A00B-129469F88A33}" name="Command"/>
    <tableColumn id="2" xr3:uid="{4596AE97-1666-4502-9BFC-26875C2933EF}" name="Location/Course Title"/>
    <tableColumn id="3" xr3:uid="{0A6DED73-A464-40F7-825B-2B19F1192CAC}" name="Asbestos Inspector"/>
    <tableColumn id="4" xr3:uid="{977083E6-823D-4C67-83FD-409241327E21}" name="Asbestos Inspector Refresher"/>
    <tableColumn id="5" xr3:uid="{81AD8009-ED8C-430A-9D1F-A56E020BA073}" name="Asbestos Management Planner"/>
    <tableColumn id="6" xr3:uid="{E3F31221-79EC-4006-94F5-3E009DC99344}" name="Asbestos Management Planner Refresher"/>
    <tableColumn id="7" xr3:uid="{048E75A7-82F0-4F16-9BA1-8E2E70B5C6D7}" name="Asbestos Supervisor Initial"/>
    <tableColumn id="8" xr3:uid="{D970964B-FC1B-44FA-9DD1-9B52B0E0464B}" name="Asbestos Supervisor Refresher"/>
    <tableColumn id="9" xr3:uid="{6B5273FF-9DA0-4D9B-84E8-B9DB019E5C6C}" name="Competent Person for Fall Protection Course"/>
    <tableColumn id="10" xr3:uid="{34E3ED6A-8CA2-4B4B-AC72-FFD010E2A7CC}" name="Confined Space Safety "/>
    <tableColumn id="11" xr3:uid="{7421D481-FBB0-4A8E-950A-C0B01107F651}" name="Construction Safety Standards"/>
    <tableColumn id="12" xr3:uid="{A8943F39-2078-4531-A2C3-E2047D05EE3C}" name="Emergency Asbestos Response Team"/>
    <tableColumn id="13" xr3:uid="{FB978321-6DC7-45CD-A2B4-333887E8A2C4}" name="Facility Response Team Five Day"/>
    <tableColumn id="14" xr3:uid="{03BA62D7-3518-463E-9361-4B78AE033671}" name="Facility Response Team Three Day"/>
    <tableColumn id="15" xr3:uid="{6CD1C29A-BA47-4AD7-9162-DDDE144EAF91}" name="Fire Protection &amp; Life Safety"/>
    <tableColumn id="16" xr3:uid="{F6EE51FA-C165-4F30-8B29-25D9DF49CA13}" name="Hazardous Substance Incident Response Management"/>
    <tableColumn id="17" xr3:uid="{EFA455DC-434A-4E99-AF0C-FCE578842501}" name="Hazardous Substance Incident Response Management  Refresher"/>
    <tableColumn id="18" xr3:uid="{DAA27C04-0E11-4A71-85C9-23CB99C535BD}" name="Incident Command System 300 "/>
    <tableColumn id="19" xr3:uid="{35577BE4-B23C-41F2-B9A3-056E45440D68}" name="Incident Command System 300 Refresher"/>
    <tableColumn id="20" xr3:uid="{74577DCC-3DA5-4A1B-8E9A-499E7A3196EA}" name="Incident Command System 400 "/>
    <tableColumn id="21" xr3:uid="{0920A710-57DA-4286-B79D-B958778CFFD2}" name="Industrial Noise and Hearing Conservation Program"/>
    <tableColumn id="22" xr3:uid="{E754A833-4F7A-4AF1-91B9-6A8663C5FF26}" name="Oil Hazardous Substance Spill Response Tabletop Exercise "/>
    <tableColumn id="23" xr3:uid="{6D230E40-FB5B-4E6B-AA33-FAF6E2788EBC}" name="Respiratory Protection Program Management"/>
    <tableColumn id="24" xr3:uid="{6B9BA8DA-F822-4334-96C8-ECA995DA2936}" name="Tank Managers Course"/>
    <tableColumn id="25" xr3:uid="{6F2BDA51-1E8E-4E2B-9F10-C95DB5246AAF}" name="Totals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E9D6244-F96B-4F9C-8F2D-EEB8EC6EBEEE}" name="Table15" displayName="Table15" ref="A3:Y16" totalsRowShown="0">
  <autoFilter ref="A3:Y16" xr:uid="{5E9D6244-F96B-4F9C-8F2D-EEB8EC6EBEEE}"/>
  <sortState xmlns:xlrd2="http://schemas.microsoft.com/office/spreadsheetml/2017/richdata2" ref="A4:Y16">
    <sortCondition ref="I3:I16"/>
  </sortState>
  <tableColumns count="25">
    <tableColumn id="1" xr3:uid="{C4EBF9C7-B051-49F0-8408-CAEEA8212BD6}" name="Command"/>
    <tableColumn id="2" xr3:uid="{2D2E791E-042D-46C5-AC8F-2523E070747A}" name="Location/Course Title"/>
    <tableColumn id="3" xr3:uid="{EFDC29C2-A34F-4503-AA89-2894BFD6BF80}" name="Asbestos Inspector"/>
    <tableColumn id="4" xr3:uid="{65888510-5CA7-43B6-AB85-2346DE638340}" name="Asbestos Inspector Refresher"/>
    <tableColumn id="5" xr3:uid="{8B60FD59-75A5-41EA-8F7A-38BDA0A0908E}" name="Asbestos Management Planner"/>
    <tableColumn id="6" xr3:uid="{60BBD7DC-B103-44B4-923C-A63B11DC90F0}" name="Asbestos Management Planner Refresher"/>
    <tableColumn id="7" xr3:uid="{09CDA64D-3CAF-45FC-BBF8-A63A9D54FAC1}" name="Asbestos Supervisor Initial"/>
    <tableColumn id="8" xr3:uid="{D7B3D767-693C-410C-B96D-A0E1885303D2}" name="Asbestos Supervisor Refresher"/>
    <tableColumn id="9" xr3:uid="{975A4CEF-F613-498B-87B9-AFA977BDE54C}" name="Competent Person for Fall Protection Course"/>
    <tableColumn id="10" xr3:uid="{815D23B9-8A90-4202-8197-53CEB9630EBA}" name="Confined Space Safety "/>
    <tableColumn id="11" xr3:uid="{01731274-14CE-4FDE-8DEE-EFAB0D7156AF}" name="Construction Safety Standards"/>
    <tableColumn id="12" xr3:uid="{04664E09-1A05-4E17-AE0B-CEBEC80F3B6C}" name="Emergency Asbestos Response Team"/>
    <tableColumn id="13" xr3:uid="{A9EABD99-692A-45CF-8CE8-17449998EC01}" name="Facility Response Team Five Day"/>
    <tableColumn id="14" xr3:uid="{FB263A2B-4A4B-4144-9DE3-1F99A95D6721}" name="Facility Response Team Three Day"/>
    <tableColumn id="15" xr3:uid="{EE9B185A-7D0A-4156-801A-5A4CF101A7B4}" name="Fire Protection &amp; Life Safety"/>
    <tableColumn id="16" xr3:uid="{3B475B83-A950-4A1F-A3AF-5BB6EA781357}" name="Hazardous Substance Incident Response Management"/>
    <tableColumn id="17" xr3:uid="{AF267EB6-916A-4F70-92D8-0E75CD538506}" name="Hazardous Substance Incident Response Management  Refresher"/>
    <tableColumn id="18" xr3:uid="{A91FC45C-EE33-400C-A793-6CE8091E22BF}" name="Incident Command System 300 "/>
    <tableColumn id="19" xr3:uid="{A92E60F2-97AC-49E4-B1CF-7F5F1FBD8FDB}" name="Incident Command System 300 Refresher"/>
    <tableColumn id="20" xr3:uid="{CBB9CB94-EB74-4B5A-B156-8017E4A8F9AD}" name="Incident Command System 400 "/>
    <tableColumn id="21" xr3:uid="{2270F2AA-0FA9-44D1-B1CF-D90C9D05098E}" name="Industrial Noise and Hearing Conservation Program"/>
    <tableColumn id="22" xr3:uid="{867E2E16-37C4-4BA7-929A-4158CDF479DA}" name="Oil Hazardous Substance Spill Response Tabletop Exercise "/>
    <tableColumn id="23" xr3:uid="{7D22CCB0-3AE5-4641-8995-CA3A932EAFC1}" name="Respiratory Protection Program Management"/>
    <tableColumn id="24" xr3:uid="{18E07E93-776D-410F-B07B-74EA4416C947}" name="Tank Managers Course"/>
    <tableColumn id="25" xr3:uid="{171D8D4C-1478-4E01-9AF0-ABBD59945B5C}" name="Total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6EDB5DD-DA60-4B72-B8A7-AA0DAC1BF15F}" name="Table16" displayName="Table16" ref="A3:Y15" totalsRowShown="0">
  <autoFilter ref="A3:Y15" xr:uid="{16EDB5DD-DA60-4B72-B8A7-AA0DAC1BF15F}"/>
  <sortState xmlns:xlrd2="http://schemas.microsoft.com/office/spreadsheetml/2017/richdata2" ref="A4:Y15">
    <sortCondition ref="Q3:Q15"/>
  </sortState>
  <tableColumns count="25">
    <tableColumn id="1" xr3:uid="{4CCA47A7-1E64-4866-AECF-97355BE6DABF}" name="Command"/>
    <tableColumn id="2" xr3:uid="{1370DB97-3716-4B6A-A3DE-9247713F3EEE}" name="Location/Course Title"/>
    <tableColumn id="3" xr3:uid="{B156F5EE-F050-4B7A-B07B-6F12E550E8C6}" name="Asbestos Inspector"/>
    <tableColumn id="4" xr3:uid="{DFE5EF05-360A-430D-95D9-CD0FB9DFB27E}" name="Asbestos Inspector Refresher"/>
    <tableColumn id="5" xr3:uid="{2C0498B5-EE35-4DAD-BDE0-C603B64C0FF8}" name="Asbestos Management Planner"/>
    <tableColumn id="6" xr3:uid="{C29E64D8-E080-4D84-87AA-88E06EA47C66}" name="Asbestos Management Planner Refresher"/>
    <tableColumn id="7" xr3:uid="{122E6C15-8391-4DEC-8E92-40494569B2C0}" name="Asbestos Supervisor Initial"/>
    <tableColumn id="8" xr3:uid="{95F8F474-5EBE-469B-828F-E4537FE9AF3F}" name="Asbestos Supervisor Refresher"/>
    <tableColumn id="9" xr3:uid="{02C91983-D313-469D-BD68-BEBB7209B1E4}" name="Competent Person for Fall Protection Course"/>
    <tableColumn id="10" xr3:uid="{12AC4B62-B0FD-470F-B902-BAC4C8BB05BE}" name="Confined Space Safety "/>
    <tableColumn id="11" xr3:uid="{B76BBB8F-ADD1-4F53-9D14-F6CA5852D5E7}" name="Construction Safety Standards"/>
    <tableColumn id="12" xr3:uid="{23B3AD00-51BD-410F-A704-B5DD0077C4A4}" name="Emergency Asbestos Response Team"/>
    <tableColumn id="13" xr3:uid="{12AA430A-876F-462D-9240-9889F88BC742}" name="Facility Response Team Five Day"/>
    <tableColumn id="14" xr3:uid="{90D460CE-949F-49E1-AF7A-D099C50E0ABB}" name="Facility Response Team Three Day"/>
    <tableColumn id="15" xr3:uid="{EA0558CB-A3EE-41D1-8270-387B65429745}" name="Fire Protection &amp; Life Safety"/>
    <tableColumn id="16" xr3:uid="{ED04441E-39EC-488D-A492-C74992A2BC35}" name="Hazardous Substance Incident Response Management"/>
    <tableColumn id="17" xr3:uid="{D9D030FE-EC0F-482D-A3DE-DA62E4F3A753}" name="Hazardous Substance Incident Response Management  Refresher"/>
    <tableColumn id="18" xr3:uid="{D4EA12FA-BBEB-40A7-9591-40AB54B24217}" name="Incident Command System 300 "/>
    <tableColumn id="19" xr3:uid="{7FA5D622-7D92-4E11-914F-714FD89DCF59}" name="Incident Command System 300 Refresher"/>
    <tableColumn id="20" xr3:uid="{C4E52DFA-BE1F-4350-B6FC-2C756C4BE3DE}" name="Incident Command System 400 "/>
    <tableColumn id="21" xr3:uid="{78FC86D6-04E5-46ED-8AC4-E927E0BD8628}" name="Industrial Noise and Hearing Conservation Program"/>
    <tableColumn id="22" xr3:uid="{71D7CCE6-73C2-4A31-B2D6-BCC80E535B76}" name="Oil Hazardous Substance Spill Response Tabletop Exercise "/>
    <tableColumn id="23" xr3:uid="{A720F4B2-1462-473D-A64E-FC5B74141AFC}" name="Respiratory Protection Program Management"/>
    <tableColumn id="24" xr3:uid="{4C8C235A-FDA9-4A1D-8F3B-4F810EEA6DC5}" name="Tank Managers Course"/>
    <tableColumn id="25" xr3:uid="{502AB6FD-0AEB-4404-AA31-41005DCB5B44}" name="Total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D5C06B-5EB6-44C4-AAC0-D050087E4BE4}" name="Table17" displayName="Table17" ref="A3:Y16" totalsRowShown="0">
  <autoFilter ref="A3:Y16" xr:uid="{7DD5C06B-5EB6-44C4-AAC0-D050087E4BE4}"/>
  <sortState xmlns:xlrd2="http://schemas.microsoft.com/office/spreadsheetml/2017/richdata2" ref="A4:Y16">
    <sortCondition ref="Q3:Q16"/>
  </sortState>
  <tableColumns count="25">
    <tableColumn id="1" xr3:uid="{00D6977A-4596-4E0B-A4DF-BD8701EF6CFE}" name="Command"/>
    <tableColumn id="2" xr3:uid="{444C7B10-8F6B-45B2-92CC-A04F643E92BC}" name="Location/Course Title"/>
    <tableColumn id="3" xr3:uid="{C2220971-5D51-4C03-A929-B063231B599F}" name="Asbestos Inspector"/>
    <tableColumn id="4" xr3:uid="{82943CE1-2872-40A7-BEF5-72DB1284CF6F}" name="Asbestos Inspector Refresher"/>
    <tableColumn id="5" xr3:uid="{F420A72E-B2DA-419F-A002-CA674D87FC7A}" name="Asbestos Management Planner"/>
    <tableColumn id="6" xr3:uid="{FBF48DB3-5B9D-4A0F-9739-C610B83EC478}" name="Asbestos Management Planner Refresher"/>
    <tableColumn id="7" xr3:uid="{AF3673DD-F6CB-4E78-9E63-29020F7D7D0D}" name="Asbestos Supervisor Initial"/>
    <tableColumn id="8" xr3:uid="{84B176C3-F81E-41CF-9C47-02316C1906F7}" name="Asbestos Supervisor Refresher"/>
    <tableColumn id="9" xr3:uid="{54DAC1C2-4623-428D-8BB8-5ED7D4D9AE01}" name="Competent Person for Fall Protection Course"/>
    <tableColumn id="10" xr3:uid="{ED9BFA56-EC38-4F99-B0E7-E6D7DB023964}" name="Confined Space Safety "/>
    <tableColumn id="11" xr3:uid="{D5FBF7FD-9E12-4F20-BA7F-16B2D6D9D244}" name="Construction Safety Standards"/>
    <tableColumn id="12" xr3:uid="{A605C438-CC2A-4DFC-86B6-C4D7D40940D1}" name="Emergency Asbestos Response Team"/>
    <tableColumn id="13" xr3:uid="{7CD2495D-229D-4628-85C3-B567E09BF6BF}" name="Facility Response Team Five Day"/>
    <tableColumn id="14" xr3:uid="{CA7A45F0-E9BF-43C8-9AE5-76D3948CEAE8}" name="Facility Response Team Three Day"/>
    <tableColumn id="15" xr3:uid="{470BC212-9C78-4160-AE88-3A2800F884F1}" name="Fire Protection &amp; Life Safety"/>
    <tableColumn id="16" xr3:uid="{E1F69284-5360-4C78-A9B2-B6AEE1290B34}" name="Hazardous Substance Incident Response Management"/>
    <tableColumn id="17" xr3:uid="{7668F74A-3205-4E25-B241-B8E31BC044AF}" name="Hazardous Substance Incident Response Management  Refresher"/>
    <tableColumn id="18" xr3:uid="{66C10CDD-8DCF-4685-B8C1-A4D4CB0B4864}" name="Incident Command System 300 "/>
    <tableColumn id="19" xr3:uid="{2BD69F0D-C745-404C-8D0A-530CBB995A77}" name="Incident Command System 300 Refresher"/>
    <tableColumn id="20" xr3:uid="{3135D483-675A-4858-8E6B-BED3A8B6C7A6}" name="Incident Command System 400 "/>
    <tableColumn id="21" xr3:uid="{DF756E25-7301-4097-8CA4-33C6692647DF}" name="Industrial Noise and Hearing Conservation Program"/>
    <tableColumn id="22" xr3:uid="{B7E8F1C8-8072-4757-92C2-F05D9D0B71A4}" name="Oil Hazardous Substance Spill Response Tabletop Exercise "/>
    <tableColumn id="23" xr3:uid="{1F2E392B-E9C8-4F1F-8CE7-22A7826D2896}" name="Respiratory Protection Program Management"/>
    <tableColumn id="24" xr3:uid="{EFF7FD89-B5F8-4E81-9CCE-99B53CD040F7}" name="Tank Managers Course"/>
    <tableColumn id="25" xr3:uid="{CDDC9169-7109-4CE6-A3EB-45CFD8D071A6}" name="Total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2:AB44"/>
  <sheetViews>
    <sheetView topLeftCell="A5" zoomScale="90" zoomScaleNormal="90" workbookViewId="0">
      <selection activeCell="P33" sqref="P33"/>
    </sheetView>
  </sheetViews>
  <sheetFormatPr defaultRowHeight="15" x14ac:dyDescent="0.25"/>
  <cols>
    <col min="2" max="2" width="73.42578125" bestFit="1" customWidth="1"/>
    <col min="20" max="20" width="10.85546875" customWidth="1"/>
    <col min="26" max="26" width="7.140625" customWidth="1"/>
  </cols>
  <sheetData>
    <row r="2" spans="2:28" x14ac:dyDescent="0.25">
      <c r="B2" s="3" t="s">
        <v>0</v>
      </c>
      <c r="C2" s="17"/>
      <c r="D2" s="17"/>
      <c r="E2" s="17"/>
      <c r="F2" s="17"/>
      <c r="G2" s="3"/>
      <c r="H2" s="3"/>
      <c r="I2" s="3"/>
      <c r="J2" s="3"/>
      <c r="K2" s="17"/>
      <c r="L2" s="17"/>
      <c r="M2" s="17"/>
      <c r="N2" s="17"/>
    </row>
    <row r="3" spans="2:28" ht="15.75" thickBot="1" x14ac:dyDescent="0.3">
      <c r="B3" s="86" t="e">
        <f ca="1">ModDate()</f>
        <v>#NAME?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28" ht="15.75" x14ac:dyDescent="0.25">
      <c r="B4" s="534" t="s">
        <v>1</v>
      </c>
      <c r="C4" s="535"/>
      <c r="D4" s="535"/>
      <c r="E4" s="535"/>
      <c r="F4" s="535"/>
      <c r="G4" s="535"/>
      <c r="H4" s="527"/>
      <c r="I4" s="527"/>
      <c r="J4" s="527"/>
      <c r="K4" s="536"/>
      <c r="L4" s="537"/>
      <c r="M4" s="538"/>
      <c r="N4" s="538"/>
    </row>
    <row r="5" spans="2:28" ht="60" x14ac:dyDescent="0.25">
      <c r="B5" s="87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72" t="s">
        <v>8</v>
      </c>
      <c r="I5" s="72" t="s">
        <v>9</v>
      </c>
      <c r="J5" s="72" t="s">
        <v>10</v>
      </c>
      <c r="K5" s="73" t="s">
        <v>11</v>
      </c>
      <c r="L5" s="74" t="s">
        <v>12</v>
      </c>
      <c r="M5" s="75" t="s">
        <v>13</v>
      </c>
      <c r="N5" s="75" t="s">
        <v>14</v>
      </c>
    </row>
    <row r="6" spans="2:28" ht="15.75" x14ac:dyDescent="0.25">
      <c r="B6" s="88" t="s">
        <v>15</v>
      </c>
      <c r="C6" s="39"/>
      <c r="D6" s="39" t="s">
        <v>16</v>
      </c>
      <c r="E6" s="39">
        <f>COUNTIFS(Table2[Course Title],Table3112[[#This Row],[Courses - Planned vs Need (Active Courses)]],Table2[Open Quotas],"0")</f>
        <v>0</v>
      </c>
      <c r="F6" s="76">
        <f>COUNTIFS(Table2[Course Title],Table3112[[#This Row],[Courses - Planned vs Need (Active Courses)]],Table2[Location],"Global Online",Table2[Open Quotas],"0")</f>
        <v>0</v>
      </c>
      <c r="G6" s="39">
        <f>Table3112[[#This Row],[Course Offerings Todate]]-Table3112[[#This Row],[Online]]</f>
        <v>0</v>
      </c>
      <c r="H6" s="52">
        <v>45</v>
      </c>
      <c r="I6" s="39">
        <f>Table3112[[#This Row],[Course Offerings Todate]]*Table3112[[#This Row],[Quotas Per Convening]]</f>
        <v>0</v>
      </c>
      <c r="J6" s="39">
        <f>SUM(Table3112[[#This Row],[Total Grads]]+Table3112[[#This Row],[Fails]]+Table3112[[#This Row],[No Shows]])</f>
        <v>145</v>
      </c>
      <c r="K6" s="39">
        <f>SUMIF(Table2[Course Title],Table3112[[#This Row],[Courses - Planned vs Need (Active Courses)]],Table2[Graduates])</f>
        <v>120</v>
      </c>
      <c r="L6" s="39">
        <f>SUMIF(Table2[Course Title],Table3112[[#This Row],[Courses - Planned vs Need (Active Courses)]],Table2[Fail])</f>
        <v>4</v>
      </c>
      <c r="M6" s="39">
        <f>SUMIF(Table2[Course Title],Table3112[[#This Row],[Courses - Planned vs Need (Active Courses)]],Table2[No Shows])</f>
        <v>21</v>
      </c>
      <c r="N6" s="39">
        <f>SUMIF(Table2[Course Title],Table3112[[#This Row],[Courses - Planned vs Need (Active Courses)]],Table2[Walk-ins])</f>
        <v>1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2:28" ht="57" customHeight="1" x14ac:dyDescent="0.25">
      <c r="B7" s="89" t="s">
        <v>17</v>
      </c>
      <c r="C7" s="39" t="s">
        <v>18</v>
      </c>
      <c r="D7" s="39" t="s">
        <v>16</v>
      </c>
      <c r="E7" s="39">
        <f ca="1">COUNTIFS(Table2[Course Title],Table3112[[#This Row],[Courses - Planned vs Need (Active Courses)]],Table2[Open Quotas],"0")</f>
        <v>1</v>
      </c>
      <c r="F7" s="76">
        <f>COUNTIFS(Table2[Course Title],Table3112[[#This Row],[Courses - Planned vs Need (Active Courses)]],Table2[Location],"Global Online",Table2[Open Quotas],"0")</f>
        <v>0</v>
      </c>
      <c r="G7" s="39">
        <f ca="1">Table3112[[#This Row],[Course Offerings Todate]]-Table3112[[#This Row],[Online]]</f>
        <v>1</v>
      </c>
      <c r="H7" s="37">
        <v>40</v>
      </c>
      <c r="I7" s="39">
        <f ca="1">Table3112[[#This Row],[Course Offerings Todate]]*Table3112[[#This Row],[Quotas Per Convening]]</f>
        <v>40</v>
      </c>
      <c r="J7" s="39">
        <f>SUM(Table3112[[#This Row],[Total Grads]]+Table3112[[#This Row],[Fails]]+Table3112[[#This Row],[No Shows]])</f>
        <v>424</v>
      </c>
      <c r="K7" s="39">
        <f>SUMIF(Table2[Course Title],Table3112[[#This Row],[Courses - Planned vs Need (Active Courses)]],Table2[Graduates])</f>
        <v>365</v>
      </c>
      <c r="L7" s="39">
        <f>SUMIF(Table2[Course Title],Table3112[[#This Row],[Courses - Planned vs Need (Active Courses)]],Table2[Fail])</f>
        <v>0</v>
      </c>
      <c r="M7" s="39">
        <f>SUMIF(Table2[Course Title],Table3112[[#This Row],[Courses - Planned vs Need (Active Courses)]],Table2[No Shows])</f>
        <v>59</v>
      </c>
      <c r="N7" s="39">
        <f>SUMIF(Table2[Course Title],Table3112[[#This Row],[Courses - Planned vs Need (Active Courses)]],Table2[Walk-ins])</f>
        <v>52</v>
      </c>
      <c r="O7" s="77"/>
      <c r="P7" s="92" t="s">
        <v>19</v>
      </c>
      <c r="Q7" s="92" t="s">
        <v>6</v>
      </c>
      <c r="R7" s="92" t="s">
        <v>7</v>
      </c>
      <c r="S7" s="92" t="s">
        <v>9</v>
      </c>
      <c r="T7" s="93" t="s">
        <v>20</v>
      </c>
      <c r="U7" s="92" t="s">
        <v>21</v>
      </c>
      <c r="V7" s="92" t="s">
        <v>22</v>
      </c>
      <c r="W7" s="92" t="s">
        <v>12</v>
      </c>
      <c r="X7" s="92" t="s">
        <v>23</v>
      </c>
      <c r="Y7" s="92" t="s">
        <v>24</v>
      </c>
      <c r="Z7" s="92" t="s">
        <v>25</v>
      </c>
      <c r="AA7" s="92" t="s">
        <v>26</v>
      </c>
      <c r="AB7" s="92" t="s">
        <v>27</v>
      </c>
    </row>
    <row r="8" spans="2:28" ht="15.75" x14ac:dyDescent="0.25">
      <c r="B8" s="89" t="s">
        <v>28</v>
      </c>
      <c r="C8" s="39" t="s">
        <v>18</v>
      </c>
      <c r="D8" s="39" t="s">
        <v>16</v>
      </c>
      <c r="E8" s="39">
        <f ca="1">COUNTIFS(Table2[Course Title],Table3112[[#This Row],[Courses - Planned vs Need (Active Courses)]],Table2[Open Quotas],"0")</f>
        <v>0</v>
      </c>
      <c r="F8" s="76">
        <f>COUNTIFS(Table2[Course Title],Table3112[[#This Row],[Courses - Planned vs Need (Active Courses)]],Table2[Location],"Global Online",Table2[Open Quotas],"0")</f>
        <v>0</v>
      </c>
      <c r="G8" s="39">
        <f ca="1">Table3112[[#This Row],[Course Offerings Todate]]-Table3112[[#This Row],[Online]]</f>
        <v>0</v>
      </c>
      <c r="H8" s="37">
        <v>40</v>
      </c>
      <c r="I8" s="39">
        <f ca="1">Table3112[[#This Row],[Course Offerings Todate]]*Table3112[[#This Row],[Quotas Per Convening]]</f>
        <v>0</v>
      </c>
      <c r="J8" s="39">
        <f>SUM(Table3112[[#This Row],[Total Grads]]+Table3112[[#This Row],[Fails]]+Table3112[[#This Row],[No Shows]])</f>
        <v>75</v>
      </c>
      <c r="K8" s="39">
        <f>SUMIF(Table2[Course Title],Table3112[[#This Row],[Courses - Planned vs Need (Active Courses)]],Table2[Graduates])</f>
        <v>64</v>
      </c>
      <c r="L8" s="39">
        <f>SUMIF(Table2[Course Title],Table3112[[#This Row],[Courses - Planned vs Need (Active Courses)]],Table2[Fail])</f>
        <v>0</v>
      </c>
      <c r="M8" s="39">
        <f>SUMIF(Table2[Course Title],Table3112[[#This Row],[Courses - Planned vs Need (Active Courses)]],Table2[No Shows])</f>
        <v>11</v>
      </c>
      <c r="N8" s="39">
        <f>SUMIF(Table2[Course Title],Table3112[[#This Row],[Courses - Planned vs Need (Active Courses)]],Table2[Walk-ins])</f>
        <v>11</v>
      </c>
      <c r="O8" s="77"/>
      <c r="P8" s="78" t="s">
        <v>16</v>
      </c>
      <c r="Q8" s="79">
        <f>SUM(F6:F15)</f>
        <v>2</v>
      </c>
      <c r="R8" s="79">
        <f ca="1">SUM(G6:G15)</f>
        <v>9</v>
      </c>
      <c r="S8" s="79">
        <f ca="1">SUM(I6:I15)</f>
        <v>325</v>
      </c>
      <c r="T8" s="79">
        <f>SUM(J6:J15)</f>
        <v>1222</v>
      </c>
      <c r="U8" s="79">
        <f>SUM(K6:K15)</f>
        <v>1022</v>
      </c>
      <c r="V8" s="84">
        <f>U8/T8</f>
        <v>0.83633387888707034</v>
      </c>
      <c r="W8" s="79">
        <f t="shared" ref="W8" si="0">SUM(L6:L15)</f>
        <v>5</v>
      </c>
      <c r="X8" s="84">
        <f>W8/T8</f>
        <v>4.0916530278232409E-3</v>
      </c>
      <c r="Y8" s="79">
        <f>SUM(M6:M15)</f>
        <v>195</v>
      </c>
      <c r="Z8" s="84">
        <f>Y8/T8</f>
        <v>0.15957446808510639</v>
      </c>
      <c r="AA8" s="79">
        <f>SUM(N6:N15)</f>
        <v>128</v>
      </c>
      <c r="AB8" s="85">
        <f>AA8/T8</f>
        <v>0.10474631751227496</v>
      </c>
    </row>
    <row r="9" spans="2:28" ht="15.75" x14ac:dyDescent="0.25">
      <c r="B9" s="89" t="s">
        <v>29</v>
      </c>
      <c r="C9" s="39" t="s">
        <v>18</v>
      </c>
      <c r="D9" s="39" t="s">
        <v>16</v>
      </c>
      <c r="E9" s="39">
        <f ca="1">COUNTIFS(Table2[Course Title],Table3112[[#This Row],[Courses - Planned vs Need (Active Courses)]],Table2[Open Quotas],"0")</f>
        <v>0</v>
      </c>
      <c r="F9" s="76">
        <f>COUNTIFS(Table2[Course Title],Table3112[[#This Row],[Courses - Planned vs Need (Active Courses)]],Table2[Location],"Global Online",Table2[Open Quotas],"0")</f>
        <v>0</v>
      </c>
      <c r="G9" s="39">
        <f ca="1">Table3112[[#This Row],[Course Offerings Todate]]-Table3112[[#This Row],[Online]]</f>
        <v>0</v>
      </c>
      <c r="H9" s="37">
        <v>25</v>
      </c>
      <c r="I9" s="39">
        <f ca="1">Table3112[[#This Row],[Course Offerings Todate]]*Table3112[[#This Row],[Quotas Per Convening]]</f>
        <v>0</v>
      </c>
      <c r="J9" s="39">
        <f>SUM(Table3112[[#This Row],[Total Grads]]+Table3112[[#This Row],[Fails]]+Table3112[[#This Row],[No Shows]])</f>
        <v>99</v>
      </c>
      <c r="K9" s="39">
        <f>SUMIF(Table2[Course Title],Table3112[[#This Row],[Courses - Planned vs Need (Active Courses)]],Table2[Graduates])</f>
        <v>92</v>
      </c>
      <c r="L9" s="39">
        <f>SUMIF(Table2[Course Title],Table3112[[#This Row],[Courses - Planned vs Need (Active Courses)]],Table2[Fail])</f>
        <v>0</v>
      </c>
      <c r="M9" s="39">
        <f>SUMIF(Table2[Course Title],Table3112[[#This Row],[Courses - Planned vs Need (Active Courses)]],Table2[No Shows])</f>
        <v>7</v>
      </c>
      <c r="N9" s="39">
        <f>SUMIF(Table2[Course Title],Table3112[[#This Row],[Courses - Planned vs Need (Active Courses)]],Table2[Walk-ins])</f>
        <v>9</v>
      </c>
      <c r="O9" s="77"/>
      <c r="P9" s="78" t="s">
        <v>30</v>
      </c>
      <c r="Q9" s="79">
        <f ca="1">SUM(F18:F43)</f>
        <v>29</v>
      </c>
      <c r="R9" s="79">
        <f ca="1">SUM(G18:G43)</f>
        <v>10</v>
      </c>
      <c r="S9" s="79">
        <f ca="1">SUM(I18:I43)</f>
        <v>1815</v>
      </c>
      <c r="T9" s="79">
        <f>SUM(J18:J43)</f>
        <v>5312</v>
      </c>
      <c r="U9" s="79">
        <f>SUM(K18:K43)</f>
        <v>4322</v>
      </c>
      <c r="V9" s="84">
        <f>U9/T9</f>
        <v>0.81362951807228912</v>
      </c>
      <c r="W9" s="79">
        <f t="shared" ref="W9" si="1">SUM(L18:L43)</f>
        <v>108</v>
      </c>
      <c r="X9" s="84">
        <f>W9/T9</f>
        <v>2.0331325301204819E-2</v>
      </c>
      <c r="Y9" s="79">
        <f>SUM(M18:M43)</f>
        <v>882</v>
      </c>
      <c r="Z9" s="84">
        <f>Y9/T9</f>
        <v>0.16603915662650603</v>
      </c>
      <c r="AA9" s="79">
        <f>SUM(N18:N43)</f>
        <v>94</v>
      </c>
      <c r="AB9" s="94">
        <f>AA9/T9</f>
        <v>1.7695783132530122E-2</v>
      </c>
    </row>
    <row r="10" spans="2:28" ht="15.75" x14ac:dyDescent="0.25">
      <c r="B10" s="89" t="s">
        <v>31</v>
      </c>
      <c r="C10" s="39" t="s">
        <v>18</v>
      </c>
      <c r="D10" s="39" t="s">
        <v>16</v>
      </c>
      <c r="E10" s="39">
        <f ca="1">COUNTIFS(Table2[Course Title],Table3112[[#This Row],[Courses - Planned vs Need (Active Courses)]],Table2[Open Quotas],"0")</f>
        <v>3</v>
      </c>
      <c r="F10" s="76">
        <f>COUNTIFS(Table2[Course Title],Table3112[[#This Row],[Courses - Planned vs Need (Active Courses)]],Table2[Location],"Global Online",Table2[Open Quotas],"0")</f>
        <v>2</v>
      </c>
      <c r="G10" s="39">
        <f ca="1">Table3112[[#This Row],[Course Offerings Todate]]-Table3112[[#This Row],[Online]]</f>
        <v>1</v>
      </c>
      <c r="H10" s="37">
        <v>30</v>
      </c>
      <c r="I10" s="39">
        <f ca="1">Table3112[[#This Row],[Course Offerings Todate]]*Table3112[[#This Row],[Quotas Per Convening]]</f>
        <v>90</v>
      </c>
      <c r="J10" s="39">
        <f>SUM(Table3112[[#This Row],[Total Grads]]+Table3112[[#This Row],[Fails]]+Table3112[[#This Row],[No Shows]])</f>
        <v>194</v>
      </c>
      <c r="K10" s="39">
        <f>SUMIF(Table2[Course Title],Table3112[[#This Row],[Courses - Planned vs Need (Active Courses)]],Table2[Graduates])</f>
        <v>167</v>
      </c>
      <c r="L10" s="39">
        <f>SUMIF(Table2[Course Title],Table3112[[#This Row],[Courses - Planned vs Need (Active Courses)]],Table2[Fail])</f>
        <v>1</v>
      </c>
      <c r="M10" s="39">
        <f>SUMIF(Table2[Course Title],Table3112[[#This Row],[Courses - Planned vs Need (Active Courses)]],Table2[No Shows])</f>
        <v>26</v>
      </c>
      <c r="N10" s="39">
        <f>SUMIF(Table2[Course Title],Table3112[[#This Row],[Courses - Planned vs Need (Active Courses)]],Table2[Walk-ins])</f>
        <v>12</v>
      </c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2:28" ht="15.75" x14ac:dyDescent="0.25">
      <c r="B11" s="89" t="s">
        <v>32</v>
      </c>
      <c r="C11" s="39" t="s">
        <v>18</v>
      </c>
      <c r="D11" s="39" t="s">
        <v>16</v>
      </c>
      <c r="E11" s="39">
        <f ca="1">COUNTIFS(Table2[Course Title],Table3112[[#This Row],[Courses - Planned vs Need (Active Courses)]],Table2[Open Quotas],"0")</f>
        <v>2</v>
      </c>
      <c r="F11" s="76">
        <f>COUNTIFS(Table2[Course Title],Table3112[[#This Row],[Courses - Planned vs Need (Active Courses)]],Table2[Location],"Global Online",Table2[Open Quotas],"0")</f>
        <v>0</v>
      </c>
      <c r="G11" s="39">
        <f ca="1">Table3112[[#This Row],[Course Offerings Todate]]-Table3112[[#This Row],[Online]]</f>
        <v>2</v>
      </c>
      <c r="H11" s="37">
        <v>30</v>
      </c>
      <c r="I11" s="39">
        <f ca="1">Table3112[[#This Row],[Course Offerings Todate]]*Table3112[[#This Row],[Quotas Per Convening]]</f>
        <v>60</v>
      </c>
      <c r="J11" s="39">
        <f>SUM(Table3112[[#This Row],[Total Grads]]+Table3112[[#This Row],[Fails]]+Table3112[[#This Row],[No Shows]])</f>
        <v>103</v>
      </c>
      <c r="K11" s="39">
        <f>SUMIF(Table2[Course Title],Table3112[[#This Row],[Courses - Planned vs Need (Active Courses)]],Table2[Graduates])</f>
        <v>81</v>
      </c>
      <c r="L11" s="39">
        <f>SUMIF(Table2[Course Title],Table3112[[#This Row],[Courses - Planned vs Need (Active Courses)]],Table2[Fail])</f>
        <v>0</v>
      </c>
      <c r="M11" s="39">
        <f>SUMIF(Table2[Course Title],Table3112[[#This Row],[Courses - Planned vs Need (Active Courses)]],Table2[No Shows])</f>
        <v>22</v>
      </c>
      <c r="N11" s="39">
        <f>SUMIF(Table2[Course Title],Table3112[[#This Row],[Courses - Planned vs Need (Active Courses)]],Table2[Walk-ins])</f>
        <v>6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2:28" ht="15.75" x14ac:dyDescent="0.25">
      <c r="B12" s="89" t="s">
        <v>33</v>
      </c>
      <c r="C12" s="39" t="s">
        <v>18</v>
      </c>
      <c r="D12" s="39" t="s">
        <v>16</v>
      </c>
      <c r="E12" s="39">
        <f ca="1">COUNTIFS(Table2[Course Title],Table3112[[#This Row],[Courses - Planned vs Need (Active Courses)]],Table2[Open Quotas],"0")</f>
        <v>0</v>
      </c>
      <c r="F12" s="76">
        <f>COUNTIFS(Table2[Course Title],Table3112[[#This Row],[Courses - Planned vs Need (Active Courses)]],Table2[Location],"Global Online",Table2[Open Quotas],"0")</f>
        <v>0</v>
      </c>
      <c r="G12" s="39">
        <f ca="1">Table3112[[#This Row],[Course Offerings Todate]]-Table3112[[#This Row],[Online]]</f>
        <v>0</v>
      </c>
      <c r="H12" s="37">
        <v>30</v>
      </c>
      <c r="I12" s="39">
        <f ca="1">Table3112[[#This Row],[Course Offerings Todate]]*Table3112[[#This Row],[Quotas Per Convening]]</f>
        <v>0</v>
      </c>
      <c r="J12" s="39">
        <f>SUM(Table3112[[#This Row],[Total Grads]]+Table3112[[#This Row],[Fails]]+Table3112[[#This Row],[No Shows]])</f>
        <v>0</v>
      </c>
      <c r="K12" s="39">
        <f>SUMIF(Table2[Course Title],Table3112[[#This Row],[Courses - Planned vs Need (Active Courses)]],Table2[Graduates])</f>
        <v>0</v>
      </c>
      <c r="L12" s="39">
        <f>SUMIF(Table2[Course Title],Table3112[[#This Row],[Courses - Planned vs Need (Active Courses)]],Table2[Fail])</f>
        <v>0</v>
      </c>
      <c r="M12" s="39">
        <f>SUMIF(Table2[Course Title],Table3112[[#This Row],[Courses - Planned vs Need (Active Courses)]],Table2[No Shows])</f>
        <v>0</v>
      </c>
      <c r="N12" s="39">
        <f>SUMIF(Table2[Course Title],Table3112[[#This Row],[Courses - Planned vs Need (Active Courses)]],Table2[Walk-ins])</f>
        <v>0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2:28" ht="15.75" x14ac:dyDescent="0.25">
      <c r="B13" s="89" t="s">
        <v>34</v>
      </c>
      <c r="C13" s="39" t="s">
        <v>18</v>
      </c>
      <c r="D13" s="39" t="s">
        <v>16</v>
      </c>
      <c r="E13" s="39">
        <f>COUNTIFS(Table2[Course Title],Table3112[[#This Row],[Courses - Planned vs Need (Active Courses)]],Table2[Open Quotas],"0")</f>
        <v>2</v>
      </c>
      <c r="F13" s="76">
        <f>COUNTIFS(Table2[Course Title],Table3112[[#This Row],[Courses - Planned vs Need (Active Courses)]],Table2[Location],"Global Online",Table2[Open Quotas],"0")</f>
        <v>0</v>
      </c>
      <c r="G13" s="39">
        <f>Table3112[[#This Row],[Course Offerings Todate]]-Table3112[[#This Row],[Online]]</f>
        <v>2</v>
      </c>
      <c r="H13" s="37">
        <v>30</v>
      </c>
      <c r="I13" s="39">
        <f>Table3112[[#This Row],[Course Offerings Todate]]*Table3112[[#This Row],[Quotas Per Convening]]</f>
        <v>60</v>
      </c>
      <c r="J13" s="39">
        <f>SUM(Table3112[[#This Row],[Total Grads]]+Table3112[[#This Row],[Fails]]+Table3112[[#This Row],[No Shows]])</f>
        <v>102</v>
      </c>
      <c r="K13" s="39">
        <f>SUMIF(Table2[Course Title],Table3112[[#This Row],[Courses - Planned vs Need (Active Courses)]],Table2[Graduates])</f>
        <v>75</v>
      </c>
      <c r="L13" s="39">
        <f>SUMIF(Table2[Course Title],Table3112[[#This Row],[Courses - Planned vs Need (Active Courses)]],Table2[Fail])</f>
        <v>0</v>
      </c>
      <c r="M13" s="39">
        <f>SUMIF(Table2[Course Title],Table3112[[#This Row],[Courses - Planned vs Need (Active Courses)]],Table2[No Shows])</f>
        <v>27</v>
      </c>
      <c r="N13" s="39">
        <f>SUMIF(Table2[Course Title],Table3112[[#This Row],[Courses - Planned vs Need (Active Courses)]],Table2[Walk-ins])</f>
        <v>8</v>
      </c>
    </row>
    <row r="14" spans="2:28" ht="15.75" x14ac:dyDescent="0.25">
      <c r="B14" s="89" t="s">
        <v>35</v>
      </c>
      <c r="C14" s="39" t="s">
        <v>18</v>
      </c>
      <c r="D14" s="39" t="s">
        <v>16</v>
      </c>
      <c r="E14" s="39">
        <f ca="1">COUNTIFS(Table2[Course Title],Table3112[[#This Row],[Courses - Planned vs Need (Active Courses)]],Table2[Open Quotas],"0")</f>
        <v>2</v>
      </c>
      <c r="F14" s="76">
        <f>COUNTIFS(Table2[Course Title],Table3112[[#This Row],[Courses - Planned vs Need (Active Courses)]],Table2[Location],"Global Online",Table2[Open Quotas],"0")</f>
        <v>0</v>
      </c>
      <c r="G14" s="39">
        <f ca="1">Table3112[[#This Row],[Course Offerings Todate]]-Table3112[[#This Row],[Online]]</f>
        <v>2</v>
      </c>
      <c r="H14" s="37">
        <v>25</v>
      </c>
      <c r="I14" s="39">
        <f ca="1">Table3112[[#This Row],[Course Offerings Todate]]*Table3112[[#This Row],[Quotas Per Convening]]</f>
        <v>50</v>
      </c>
      <c r="J14" s="39">
        <f>SUM(Table3112[[#This Row],[Total Grads]]+Table3112[[#This Row],[Fails]]+Table3112[[#This Row],[No Shows]])</f>
        <v>69</v>
      </c>
      <c r="K14" s="39">
        <f>SUMIF(Table2[Course Title],Table3112[[#This Row],[Courses - Planned vs Need (Active Courses)]],Table2[Graduates])</f>
        <v>52</v>
      </c>
      <c r="L14" s="39">
        <f>SUMIF(Table2[Course Title],Table3112[[#This Row],[Courses - Planned vs Need (Active Courses)]],Table2[Fail])</f>
        <v>0</v>
      </c>
      <c r="M14" s="39">
        <f>SUMIF(Table2[Course Title],Table3112[[#This Row],[Courses - Planned vs Need (Active Courses)]],Table2[No Shows])</f>
        <v>17</v>
      </c>
      <c r="N14" s="39">
        <f>SUMIF(Table2[Course Title],Table3112[[#This Row],[Courses - Planned vs Need (Active Courses)]],Table2[Walk-ins])</f>
        <v>29</v>
      </c>
    </row>
    <row r="15" spans="2:28" ht="15.75" x14ac:dyDescent="0.25">
      <c r="B15" s="89" t="s">
        <v>36</v>
      </c>
      <c r="C15" s="39" t="s">
        <v>18</v>
      </c>
      <c r="D15" s="39" t="s">
        <v>16</v>
      </c>
      <c r="E15" s="39">
        <f>COUNTIFS(Table2[Course Title],Table3112[[#This Row],[Courses - Planned vs Need (Active Courses)]],Table2[Open Quotas],"0")</f>
        <v>1</v>
      </c>
      <c r="F15" s="76">
        <f>COUNTIFS(Table2[Course Title],Table3112[[#This Row],[Courses - Planned vs Need (Active Courses)]],Table2[Location],"Global Online",Table2[Open Quotas],"0")</f>
        <v>0</v>
      </c>
      <c r="G15" s="39">
        <f>Table3112[[#This Row],[Course Offerings Todate]]-Table3112[[#This Row],[Online]]</f>
        <v>1</v>
      </c>
      <c r="H15" s="37">
        <v>25</v>
      </c>
      <c r="I15" s="39">
        <f>Table3112[[#This Row],[Course Offerings Todate]]*Table3112[[#This Row],[Quotas Per Convening]]</f>
        <v>25</v>
      </c>
      <c r="J15" s="39">
        <f>SUM(Table3112[[#This Row],[Total Grads]]+Table3112[[#This Row],[Fails]]+Table3112[[#This Row],[No Shows]])</f>
        <v>11</v>
      </c>
      <c r="K15" s="39">
        <f>SUMIF(Table2[Course Title],Table3112[[#This Row],[Courses - Planned vs Need (Active Courses)]],Table2[Graduates])</f>
        <v>6</v>
      </c>
      <c r="L15" s="39">
        <f>SUMIF(Table2[Course Title],Table3112[[#This Row],[Courses - Planned vs Need (Active Courses)]],Table2[Fail])</f>
        <v>0</v>
      </c>
      <c r="M15" s="39">
        <f>SUMIF(Table2[Course Title],Table3112[[#This Row],[Courses - Planned vs Need (Active Courses)]],Table2[No Shows])</f>
        <v>5</v>
      </c>
      <c r="N15" s="39">
        <f>SUMIF(Table2[Course Title],Table3112[[#This Row],[Courses - Planned vs Need (Active Courses)]],Table2[Walk-ins])</f>
        <v>0</v>
      </c>
    </row>
    <row r="16" spans="2:28" ht="15.75" x14ac:dyDescent="0.25">
      <c r="B16" s="80"/>
      <c r="C16" s="80"/>
      <c r="D16" s="80"/>
      <c r="E16" s="39">
        <f>COUNTIFS(Table2[Course Title],Table3112[[#This Row],[Courses - Planned vs Need (Active Courses)]],Table2[Open Quotas],"0")</f>
        <v>0</v>
      </c>
      <c r="F16" s="76">
        <f>COUNTIFS(Table2[Course Title],Table3112[[#This Row],[Courses - Planned vs Need (Active Courses)]],Table2[Location],"Global Online",Table2[Open Quotas],"0")</f>
        <v>0</v>
      </c>
      <c r="G16" s="80"/>
      <c r="H16" s="80"/>
      <c r="I16" s="80"/>
      <c r="J16" s="81"/>
      <c r="K16" s="39">
        <f>SUMIF(Table2[Course Title],Table3112[[#This Row],[Courses - Planned vs Need (Active Courses)]],Table2[Graduates])</f>
        <v>0</v>
      </c>
      <c r="L16" s="39">
        <f>SUMIF(Table2[Course Title],Table3112[[#This Row],[Courses - Planned vs Need (Active Courses)]],Table2[Fail])</f>
        <v>0</v>
      </c>
      <c r="M16" s="39">
        <f>SUMIF(Table2[Course Title],Table3112[[#This Row],[Courses - Planned vs Need (Active Courses)]],Table2[No Shows])</f>
        <v>0</v>
      </c>
      <c r="N16" s="39">
        <f>SUMIF(Table2[Course Title],Table3112[[#This Row],[Courses - Planned vs Need (Active Courses)]],Table2[Walk-ins])</f>
        <v>0</v>
      </c>
    </row>
    <row r="17" spans="2:14" ht="15.75" x14ac:dyDescent="0.25">
      <c r="B17" s="90" t="s">
        <v>30</v>
      </c>
      <c r="C17" s="80"/>
      <c r="D17" s="80"/>
      <c r="E17" s="39">
        <f>COUNTIFS(Table2[Course Title],Table3112[[#This Row],[Courses - Planned vs Need (Active Courses)]],Table2[Open Quotas],"0")</f>
        <v>0</v>
      </c>
      <c r="F17" s="76">
        <f>COUNTIFS(Table2[Course Title],Table3112[[#This Row],[Courses - Planned vs Need (Active Courses)]],Table2[Location],"Global Online",Table2[Open Quotas],"0")</f>
        <v>0</v>
      </c>
      <c r="G17" s="80"/>
      <c r="H17" s="80"/>
      <c r="I17" s="80"/>
      <c r="J17" s="81"/>
      <c r="K17" s="39">
        <f>SUMIF(Table2[Course Title],Table3112[[#This Row],[Courses - Planned vs Need (Active Courses)]],Table2[Graduates])</f>
        <v>0</v>
      </c>
      <c r="L17" s="39">
        <f>SUMIF(Table2[Course Title],Table3112[[#This Row],[Courses - Planned vs Need (Active Courses)]],Table2[Fail])</f>
        <v>0</v>
      </c>
      <c r="M17" s="39">
        <f>SUMIF(Table2[Course Title],Table3112[[#This Row],[Courses - Planned vs Need (Active Courses)]],Table2[No Shows])</f>
        <v>0</v>
      </c>
      <c r="N17" s="39">
        <f>SUMIF(Table2[Course Title],Table3112[[#This Row],[Courses - Planned vs Need (Active Courses)]],Table2[Walk-ins])</f>
        <v>0</v>
      </c>
    </row>
    <row r="18" spans="2:14" ht="15.75" x14ac:dyDescent="0.25">
      <c r="B18" s="88" t="s">
        <v>37</v>
      </c>
      <c r="C18" s="39"/>
      <c r="D18" s="39" t="s">
        <v>30</v>
      </c>
      <c r="E18" s="39">
        <f>COUNTIFS(Table2[Course Title],Table3112[[#This Row],[Courses - Planned vs Need (Active Courses)]],Table2[Open Quotas],"0")</f>
        <v>0</v>
      </c>
      <c r="F18" s="76">
        <f>COUNTIFS(Table2[Course Title],Table3112[[#This Row],[Courses - Planned vs Need (Active Courses)]],Table2[Location],"Global Online",Table2[Open Quotas],"0")</f>
        <v>0</v>
      </c>
      <c r="G18" s="39">
        <f>Table3112[[#This Row],[Course Offerings Todate]]-Table3112[[#This Row],[Online]]</f>
        <v>0</v>
      </c>
      <c r="H18" s="37">
        <v>45</v>
      </c>
      <c r="I18" s="39">
        <f>Table3112[[#This Row],[Course Offerings Todate]]*Table3112[[#This Row],[Quotas Per Convening]]</f>
        <v>0</v>
      </c>
      <c r="J18" s="39">
        <f>SUM(Table3112[[#This Row],[Total Grads]]+Table3112[[#This Row],[Fails]]+Table3112[[#This Row],[No Shows]])</f>
        <v>176</v>
      </c>
      <c r="K18" s="39">
        <f>SUMIF(Table2[Course Title],Table3112[[#This Row],[Courses - Planned vs Need (Active Courses)]],Table2[Graduates])</f>
        <v>149</v>
      </c>
      <c r="L18" s="39">
        <f>SUMIF(Table2[Course Title],Table3112[[#This Row],[Courses - Planned vs Need (Active Courses)]],Table2[Fail])</f>
        <v>2</v>
      </c>
      <c r="M18" s="39">
        <f>SUMIF(Table2[Course Title],Table3112[[#This Row],[Courses - Planned vs Need (Active Courses)]],Table2[No Shows])</f>
        <v>25</v>
      </c>
      <c r="N18" s="39">
        <f>SUMIF(Table2[Course Title],Table3112[[#This Row],[Courses - Planned vs Need (Active Courses)]],Table2[Walk-ins])</f>
        <v>0</v>
      </c>
    </row>
    <row r="19" spans="2:14" ht="15.75" x14ac:dyDescent="0.25">
      <c r="B19" s="88" t="s">
        <v>38</v>
      </c>
      <c r="C19" s="39"/>
      <c r="D19" s="39" t="s">
        <v>30</v>
      </c>
      <c r="E19" s="39">
        <f>COUNTIFS(Table2[Course Title],Table3112[[#This Row],[Courses - Planned vs Need (Active Courses)]],Table2[Open Quotas],"0")</f>
        <v>0</v>
      </c>
      <c r="F19" s="76">
        <f>COUNTIFS(Table2[Course Title],Table3112[[#This Row],[Courses - Planned vs Need (Active Courses)]],Table2[Location],"Global Online",Table2[Open Quotas],"0")</f>
        <v>0</v>
      </c>
      <c r="G19" s="39">
        <f>Table3112[[#This Row],[Course Offerings Todate]]-Table3112[[#This Row],[Online]]</f>
        <v>0</v>
      </c>
      <c r="H19" s="37">
        <v>45</v>
      </c>
      <c r="I19" s="39">
        <f>Table3112[[#This Row],[Course Offerings Todate]]*Table3112[[#This Row],[Quotas Per Convening]]</f>
        <v>0</v>
      </c>
      <c r="J19" s="39">
        <f>SUM(Table3112[[#This Row],[Total Grads]]+Table3112[[#This Row],[Fails]]+Table3112[[#This Row],[No Shows]])</f>
        <v>263</v>
      </c>
      <c r="K19" s="39">
        <f>SUMIF(Table2[Course Title],Table3112[[#This Row],[Courses - Planned vs Need (Active Courses)]],Table2[Graduates])</f>
        <v>221</v>
      </c>
      <c r="L19" s="39">
        <f>SUMIF(Table2[Course Title],Table3112[[#This Row],[Courses - Planned vs Need (Active Courses)]],Table2[Fail])</f>
        <v>0</v>
      </c>
      <c r="M19" s="39">
        <f>SUMIF(Table2[Course Title],Table3112[[#This Row],[Courses - Planned vs Need (Active Courses)]],Table2[No Shows])</f>
        <v>42</v>
      </c>
      <c r="N19" s="39">
        <f>SUMIF(Table2[Course Title],Table3112[[#This Row],[Courses - Planned vs Need (Active Courses)]],Table2[Walk-ins])</f>
        <v>0</v>
      </c>
    </row>
    <row r="20" spans="2:14" ht="15.75" x14ac:dyDescent="0.25">
      <c r="B20" s="88" t="s">
        <v>39</v>
      </c>
      <c r="C20" s="39"/>
      <c r="D20" s="39" t="s">
        <v>30</v>
      </c>
      <c r="E20" s="39">
        <f ca="1">COUNTIFS(Table2[Course Title],Table3112[[#This Row],[Courses - Planned vs Need (Active Courses)]],Table2[Open Quotas],"0")</f>
        <v>0</v>
      </c>
      <c r="F20" s="76">
        <f ca="1">COUNTIFS(Table2[Course Title],Table3112[[#This Row],[Courses - Planned vs Need (Active Courses)]],Table2[Location],"Global Online",Table2[Open Quotas],"0")</f>
        <v>0</v>
      </c>
      <c r="G20" s="39">
        <f ca="1">Table3112[[#This Row],[Course Offerings Todate]]-Table3112[[#This Row],[Online]]</f>
        <v>0</v>
      </c>
      <c r="H20" s="37">
        <v>30</v>
      </c>
      <c r="I20" s="39">
        <f ca="1">Table3112[[#This Row],[Course Offerings Todate]]*Table3112[[#This Row],[Quotas Per Convening]]</f>
        <v>0</v>
      </c>
      <c r="J20" s="39">
        <f>SUM(Table3112[[#This Row],[Total Grads]]+Table3112[[#This Row],[Fails]]+Table3112[[#This Row],[No Shows]])</f>
        <v>240</v>
      </c>
      <c r="K20" s="39">
        <f>SUMIF(Table2[Course Title],Table3112[[#This Row],[Courses - Planned vs Need (Active Courses)]],Table2[Graduates])</f>
        <v>173</v>
      </c>
      <c r="L20" s="39">
        <f>SUMIF(Table2[Course Title],Table3112[[#This Row],[Courses - Planned vs Need (Active Courses)]],Table2[Fail])</f>
        <v>22</v>
      </c>
      <c r="M20" s="39">
        <f>SUMIF(Table2[Course Title],Table3112[[#This Row],[Courses - Planned vs Need (Active Courses)]],Table2[No Shows])</f>
        <v>45</v>
      </c>
      <c r="N20" s="39">
        <f>SUMIF(Table2[Course Title],Table3112[[#This Row],[Courses - Planned vs Need (Active Courses)]],Table2[Walk-ins])</f>
        <v>2</v>
      </c>
    </row>
    <row r="21" spans="2:14" ht="15.75" x14ac:dyDescent="0.25">
      <c r="B21" s="88" t="s">
        <v>40</v>
      </c>
      <c r="C21" s="39"/>
      <c r="D21" s="39" t="s">
        <v>30</v>
      </c>
      <c r="E21" s="39">
        <f ca="1">COUNTIFS(Table2[Course Title],Table3112[[#This Row],[Courses - Planned vs Need (Active Courses)]],Table2[Open Quotas],"0")</f>
        <v>6</v>
      </c>
      <c r="F21" s="76">
        <f ca="1">COUNTIFS(Table2[Course Title],Table3112[[#This Row],[Courses - Planned vs Need (Active Courses)]],Table2[Location],"Global Online",Table2[Open Quotas],"0")</f>
        <v>6</v>
      </c>
      <c r="G21" s="39">
        <f ca="1">Table3112[[#This Row],[Course Offerings Todate]]-Table3112[[#This Row],[Online]]</f>
        <v>0</v>
      </c>
      <c r="H21" s="37">
        <v>100</v>
      </c>
      <c r="I21" s="39">
        <f ca="1">Table3112[[#This Row],[Course Offerings Todate]]*Table3112[[#This Row],[Quotas Per Convening]]</f>
        <v>600</v>
      </c>
      <c r="J21" s="39">
        <f>SUM(Table3112[[#This Row],[Total Grads]]+Table3112[[#This Row],[Fails]]+Table3112[[#This Row],[No Shows]])</f>
        <v>981</v>
      </c>
      <c r="K21" s="39">
        <f>SUMIF(Table2[Course Title],Table3112[[#This Row],[Courses - Planned vs Need (Active Courses)]],Table2[Graduates])</f>
        <v>744</v>
      </c>
      <c r="L21" s="39">
        <f>SUMIF(Table2[Course Title],Table3112[[#This Row],[Courses - Planned vs Need (Active Courses)]],Table2[Fail])</f>
        <v>48</v>
      </c>
      <c r="M21" s="39">
        <f>SUMIF(Table2[Course Title],Table3112[[#This Row],[Courses - Planned vs Need (Active Courses)]],Table2[No Shows])</f>
        <v>189</v>
      </c>
      <c r="N21" s="39">
        <f>SUMIF(Table2[Course Title],Table3112[[#This Row],[Courses - Planned vs Need (Active Courses)]],Table2[Walk-ins])</f>
        <v>16</v>
      </c>
    </row>
    <row r="22" spans="2:14" ht="15.75" x14ac:dyDescent="0.25">
      <c r="B22" s="88" t="s">
        <v>41</v>
      </c>
      <c r="C22" s="39"/>
      <c r="D22" s="39" t="s">
        <v>30</v>
      </c>
      <c r="E22" s="39">
        <f>COUNTIFS(Table2[Course Title],Table3112[[#This Row],[Courses - Planned vs Need (Active Courses)]],Table2[Open Quotas],"0")</f>
        <v>0</v>
      </c>
      <c r="F22" s="76">
        <f>COUNTIFS(Table2[Course Title],Table3112[[#This Row],[Courses - Planned vs Need (Active Courses)]],Table2[Location],"Global Online",Table2[Open Quotas],"0")</f>
        <v>0</v>
      </c>
      <c r="G22" s="39">
        <f>Table3112[[#This Row],[Course Offerings Todate]]-Table3112[[#This Row],[Online]]</f>
        <v>0</v>
      </c>
      <c r="H22" s="37">
        <v>25</v>
      </c>
      <c r="I22" s="39">
        <f>Table3112[[#This Row],[Course Offerings Todate]]*Table3112[[#This Row],[Quotas Per Convening]]</f>
        <v>0</v>
      </c>
      <c r="J22" s="39">
        <f>SUM(Table3112[[#This Row],[Total Grads]]+Table3112[[#This Row],[Fails]]+Table3112[[#This Row],[No Shows]])</f>
        <v>0</v>
      </c>
      <c r="K22" s="39">
        <f>SUMIF(Table2[Course Title],Table3112[[#This Row],[Courses - Planned vs Need (Active Courses)]],Table2[Graduates])</f>
        <v>0</v>
      </c>
      <c r="L22" s="39">
        <f>SUMIF(Table2[Course Title],Table3112[[#This Row],[Courses - Planned vs Need (Active Courses)]],Table2[Fail])</f>
        <v>0</v>
      </c>
      <c r="M22" s="39">
        <f>SUMIF(Table2[Course Title],Table3112[[#This Row],[Courses - Planned vs Need (Active Courses)]],Table2[No Shows])</f>
        <v>0</v>
      </c>
      <c r="N22" s="39">
        <f>SUMIF(Table2[Course Title],Table3112[[#This Row],[Courses - Planned vs Need (Active Courses)]],Table2[Walk-ins])</f>
        <v>0</v>
      </c>
    </row>
    <row r="23" spans="2:14" ht="15.75" x14ac:dyDescent="0.25">
      <c r="B23" s="88" t="s">
        <v>42</v>
      </c>
      <c r="C23" s="39"/>
      <c r="D23" s="39" t="s">
        <v>30</v>
      </c>
      <c r="E23" s="39">
        <f>COUNTIFS(Table2[Course Title],Table3112[[#This Row],[Courses - Planned vs Need (Active Courses)]],Table2[Open Quotas],"0")</f>
        <v>1</v>
      </c>
      <c r="F23" s="76">
        <f>COUNTIFS(Table2[Course Title],Table3112[[#This Row],[Courses - Planned vs Need (Active Courses)]],Table2[Location],"Global Online",Table2[Open Quotas],"0")</f>
        <v>1</v>
      </c>
      <c r="G23" s="39">
        <f>Table3112[[#This Row],[Course Offerings Todate]]-Table3112[[#This Row],[Online]]</f>
        <v>0</v>
      </c>
      <c r="H23" s="37">
        <v>30</v>
      </c>
      <c r="I23" s="39">
        <f>Table3112[[#This Row],[Course Offerings Todate]]*Table3112[[#This Row],[Quotas Per Convening]]</f>
        <v>30</v>
      </c>
      <c r="J23" s="39">
        <f>SUM(Table3112[[#This Row],[Total Grads]]+Table3112[[#This Row],[Fails]]+Table3112[[#This Row],[No Shows]])</f>
        <v>30</v>
      </c>
      <c r="K23" s="39">
        <f>SUMIF(Table2[Course Title],Table3112[[#This Row],[Courses - Planned vs Need (Active Courses)]],Table2[Graduates])</f>
        <v>29</v>
      </c>
      <c r="L23" s="39">
        <f>SUMIF(Table2[Course Title],Table3112[[#This Row],[Courses - Planned vs Need (Active Courses)]],Table2[Fail])</f>
        <v>0</v>
      </c>
      <c r="M23" s="39">
        <f>SUMIF(Table2[Course Title],Table3112[[#This Row],[Courses - Planned vs Need (Active Courses)]],Table2[No Shows])</f>
        <v>1</v>
      </c>
      <c r="N23" s="39">
        <f>SUMIF(Table2[Course Title],Table3112[[#This Row],[Courses - Planned vs Need (Active Courses)]],Table2[Walk-ins])</f>
        <v>0</v>
      </c>
    </row>
    <row r="24" spans="2:14" ht="15.75" x14ac:dyDescent="0.25">
      <c r="B24" s="88" t="s">
        <v>43</v>
      </c>
      <c r="C24" s="39"/>
      <c r="D24" s="39" t="s">
        <v>30</v>
      </c>
      <c r="E24" s="39">
        <f>COUNTIFS(Table2[Course Title],Table3112[[#This Row],[Courses - Planned vs Need (Active Courses)]],Table2[Open Quotas],"0")</f>
        <v>0</v>
      </c>
      <c r="F24" s="76">
        <f>COUNTIFS(Table2[Course Title],Table3112[[#This Row],[Courses - Planned vs Need (Active Courses)]],Table2[Location],"Global Online",Table2[Open Quotas],"0")</f>
        <v>0</v>
      </c>
      <c r="G24" s="39">
        <f>Table3112[[#This Row],[Course Offerings Todate]]-Table3112[[#This Row],[Online]]</f>
        <v>0</v>
      </c>
      <c r="H24" s="37">
        <v>25</v>
      </c>
      <c r="I24" s="39">
        <f>Table3112[[#This Row],[Course Offerings Todate]]*Table3112[[#This Row],[Quotas Per Convening]]</f>
        <v>0</v>
      </c>
      <c r="J24" s="39">
        <f>SUM(Table3112[[#This Row],[Total Grads]]+Table3112[[#This Row],[Fails]]+Table3112[[#This Row],[No Shows]])</f>
        <v>0</v>
      </c>
      <c r="K24" s="39">
        <f>SUMIF(Table2[Course Title],Table3112[[#This Row],[Courses - Planned vs Need (Active Courses)]],Table2[Graduates])</f>
        <v>0</v>
      </c>
      <c r="L24" s="39">
        <f>SUMIF(Table2[Course Title],Table3112[[#This Row],[Courses - Planned vs Need (Active Courses)]],Table2[Fail])</f>
        <v>0</v>
      </c>
      <c r="M24" s="39">
        <f>SUMIF(Table2[Course Title],Table3112[[#This Row],[Courses - Planned vs Need (Active Courses)]],Table2[No Shows])</f>
        <v>0</v>
      </c>
      <c r="N24" s="39">
        <f>SUMIF(Table2[Course Title],Table3112[[#This Row],[Courses - Planned vs Need (Active Courses)]],Table2[Walk-ins])</f>
        <v>0</v>
      </c>
    </row>
    <row r="25" spans="2:14" ht="15.75" x14ac:dyDescent="0.25">
      <c r="B25" s="88" t="s">
        <v>44</v>
      </c>
      <c r="C25" s="39"/>
      <c r="D25" s="39" t="s">
        <v>30</v>
      </c>
      <c r="E25" s="39">
        <f>COUNTIFS(Table2[Course Title],Table3112[[#This Row],[Courses - Planned vs Need (Active Courses)]],Table2[Open Quotas],"0")</f>
        <v>0</v>
      </c>
      <c r="F25" s="76">
        <f>COUNTIFS(Table2[Course Title],Table3112[[#This Row],[Courses - Planned vs Need (Active Courses)]],Table2[Location],"Global Online",Table2[Open Quotas],"0")</f>
        <v>0</v>
      </c>
      <c r="G25" s="39">
        <f>Table3112[[#This Row],[Course Offerings Todate]]-Table3112[[#This Row],[Online]]</f>
        <v>0</v>
      </c>
      <c r="H25" s="37">
        <v>30</v>
      </c>
      <c r="I25" s="39">
        <f>Table3112[[#This Row],[Course Offerings Todate]]*Table3112[[#This Row],[Quotas Per Convening]]</f>
        <v>0</v>
      </c>
      <c r="J25" s="39">
        <f>SUM(Table3112[[#This Row],[Total Grads]]+Table3112[[#This Row],[Fails]]+Table3112[[#This Row],[No Shows]])</f>
        <v>34</v>
      </c>
      <c r="K25" s="39">
        <f>SUMIF(Table2[Course Title],Table3112[[#This Row],[Courses - Planned vs Need (Active Courses)]],Table2[Graduates])</f>
        <v>31</v>
      </c>
      <c r="L25" s="39">
        <f>SUMIF(Table2[Course Title],Table3112[[#This Row],[Courses - Planned vs Need (Active Courses)]],Table2[Fail])</f>
        <v>0</v>
      </c>
      <c r="M25" s="39">
        <f>SUMIF(Table2[Course Title],Table3112[[#This Row],[Courses - Planned vs Need (Active Courses)]],Table2[No Shows])</f>
        <v>3</v>
      </c>
      <c r="N25" s="39">
        <f>SUMIF(Table2[Course Title],Table3112[[#This Row],[Courses - Planned vs Need (Active Courses)]],Table2[Walk-ins])</f>
        <v>0</v>
      </c>
    </row>
    <row r="26" spans="2:14" ht="15.75" x14ac:dyDescent="0.25">
      <c r="B26" s="88" t="s">
        <v>45</v>
      </c>
      <c r="C26" s="39"/>
      <c r="D26" s="39" t="s">
        <v>30</v>
      </c>
      <c r="E26" s="39">
        <f>COUNTIFS(Table2[Course Title],Table3112[[#This Row],[Courses - Planned vs Need (Active Courses)]],Table2[Open Quotas],"0")</f>
        <v>1</v>
      </c>
      <c r="F26" s="76">
        <f>COUNTIFS(Table2[Course Title],Table3112[[#This Row],[Courses - Planned vs Need (Active Courses)]],Table2[Location],"Global Online",Table2[Open Quotas],"0")</f>
        <v>0</v>
      </c>
      <c r="G26" s="39">
        <f>Table3112[[#This Row],[Course Offerings Todate]]-Table3112[[#This Row],[Online]]</f>
        <v>1</v>
      </c>
      <c r="H26" s="37">
        <v>25</v>
      </c>
      <c r="I26" s="39">
        <f>Table3112[[#This Row],[Course Offerings Todate]]*Table3112[[#This Row],[Quotas Per Convening]]</f>
        <v>25</v>
      </c>
      <c r="J26" s="39">
        <f>SUM(Table3112[[#This Row],[Total Grads]]+Table3112[[#This Row],[Fails]]+Table3112[[#This Row],[No Shows]])</f>
        <v>7</v>
      </c>
      <c r="K26" s="39">
        <f>SUMIF(Table2[Course Title],Table3112[[#This Row],[Courses - Planned vs Need (Active Courses)]],Table2[Graduates])</f>
        <v>6</v>
      </c>
      <c r="L26" s="39">
        <f>SUMIF(Table2[Course Title],Table3112[[#This Row],[Courses - Planned vs Need (Active Courses)]],Table2[Fail])</f>
        <v>0</v>
      </c>
      <c r="M26" s="39">
        <f>SUMIF(Table2[Course Title],Table3112[[#This Row],[Courses - Planned vs Need (Active Courses)]],Table2[No Shows])</f>
        <v>1</v>
      </c>
      <c r="N26" s="39">
        <f>SUMIF(Table2[Course Title],Table3112[[#This Row],[Courses - Planned vs Need (Active Courses)]],Table2[Walk-ins])</f>
        <v>0</v>
      </c>
    </row>
    <row r="27" spans="2:14" ht="15.75" x14ac:dyDescent="0.25">
      <c r="B27" s="88" t="s">
        <v>46</v>
      </c>
      <c r="C27" s="39"/>
      <c r="D27" s="39" t="s">
        <v>30</v>
      </c>
      <c r="E27" s="39">
        <f>COUNTIFS(Table2[Course Title],Table3112[[#This Row],[Courses - Planned vs Need (Active Courses)]],Table2[Open Quotas],"0")</f>
        <v>0</v>
      </c>
      <c r="F27" s="76">
        <f>COUNTIFS(Table2[Course Title],Table3112[[#This Row],[Courses - Planned vs Need (Active Courses)]],Table2[Location],"Global Online",Table2[Open Quotas],"0")</f>
        <v>0</v>
      </c>
      <c r="G27" s="39">
        <f>Table3112[[#This Row],[Course Offerings Todate]]-Table3112[[#This Row],[Online]]</f>
        <v>0</v>
      </c>
      <c r="H27" s="37">
        <v>30</v>
      </c>
      <c r="I27" s="39">
        <f>Table3112[[#This Row],[Course Offerings Todate]]*Table3112[[#This Row],[Quotas Per Convening]]</f>
        <v>0</v>
      </c>
      <c r="J27" s="39">
        <f>SUM(Table3112[[#This Row],[Total Grads]]+Table3112[[#This Row],[Fails]]+Table3112[[#This Row],[No Shows]])</f>
        <v>41</v>
      </c>
      <c r="K27" s="39">
        <f>SUMIF(Table2[Course Title],Table3112[[#This Row],[Courses - Planned vs Need (Active Courses)]],Table2[Graduates])</f>
        <v>37</v>
      </c>
      <c r="L27" s="39">
        <f>SUMIF(Table2[Course Title],Table3112[[#This Row],[Courses - Planned vs Need (Active Courses)]],Table2[Fail])</f>
        <v>0</v>
      </c>
      <c r="M27" s="39">
        <f>SUMIF(Table2[Course Title],Table3112[[#This Row],[Courses - Planned vs Need (Active Courses)]],Table2[No Shows])</f>
        <v>4</v>
      </c>
      <c r="N27" s="39">
        <f>SUMIF(Table2[Course Title],Table3112[[#This Row],[Courses - Planned vs Need (Active Courses)]],Table2[Walk-ins])</f>
        <v>0</v>
      </c>
    </row>
    <row r="28" spans="2:14" ht="15.75" x14ac:dyDescent="0.25">
      <c r="B28" s="89" t="s">
        <v>47</v>
      </c>
      <c r="C28" s="39" t="s">
        <v>18</v>
      </c>
      <c r="D28" s="39" t="s">
        <v>30</v>
      </c>
      <c r="E28" s="39">
        <f>COUNTIFS(Table2[Course Title],Table3112[[#This Row],[Courses - Planned vs Need (Active Courses)]],Table2[Open Quotas],"0")</f>
        <v>2</v>
      </c>
      <c r="F28" s="76">
        <f>COUNTIFS(Table2[Course Title],Table3112[[#This Row],[Courses - Planned vs Need (Active Courses)]],Table2[Location],"Global Online",Table2[Open Quotas],"0")</f>
        <v>1</v>
      </c>
      <c r="G28" s="39">
        <f>Table3112[[#This Row],[Course Offerings Todate]]-Table3112[[#This Row],[Online]]</f>
        <v>1</v>
      </c>
      <c r="H28" s="37">
        <v>25</v>
      </c>
      <c r="I28" s="39">
        <f>Table3112[[#This Row],[Course Offerings Todate]]*Table3112[[#This Row],[Quotas Per Convening]]</f>
        <v>50</v>
      </c>
      <c r="J28" s="39">
        <f>SUM(Table3112[[#This Row],[Total Grads]]+Table3112[[#This Row],[Fails]]+Table3112[[#This Row],[No Shows]])</f>
        <v>47</v>
      </c>
      <c r="K28" s="39">
        <f>SUMIF(Table2[Course Title],Table3112[[#This Row],[Courses - Planned vs Need (Active Courses)]],Table2[Graduates])</f>
        <v>33</v>
      </c>
      <c r="L28" s="39">
        <f>SUMIF(Table2[Course Title],Table3112[[#This Row],[Courses - Planned vs Need (Active Courses)]],Table2[Fail])</f>
        <v>3</v>
      </c>
      <c r="M28" s="39">
        <f>SUMIF(Table2[Course Title],Table3112[[#This Row],[Courses - Planned vs Need (Active Courses)]],Table2[No Shows])</f>
        <v>11</v>
      </c>
      <c r="N28" s="39">
        <f>SUMIF(Table2[Course Title],Table3112[[#This Row],[Courses - Planned vs Need (Active Courses)]],Table2[Walk-ins])</f>
        <v>1</v>
      </c>
    </row>
    <row r="29" spans="2:14" ht="15.75" x14ac:dyDescent="0.25">
      <c r="B29" s="88" t="s">
        <v>48</v>
      </c>
      <c r="C29" s="39"/>
      <c r="D29" s="39" t="s">
        <v>30</v>
      </c>
      <c r="E29" s="39">
        <f ca="1">COUNTIFS(Table2[Course Title],Table3112[[#This Row],[Courses - Planned vs Need (Active Courses)]],Table2[Open Quotas],"0")</f>
        <v>0</v>
      </c>
      <c r="F29" s="76">
        <f>COUNTIFS(Table2[Course Title],Table3112[[#This Row],[Courses - Planned vs Need (Active Courses)]],Table2[Location],"Global Online",Table2[Open Quotas],"0")</f>
        <v>0</v>
      </c>
      <c r="G29" s="39">
        <f ca="1">Table3112[[#This Row],[Course Offerings Todate]]-Table3112[[#This Row],[Online]]</f>
        <v>0</v>
      </c>
      <c r="H29" s="37">
        <v>25</v>
      </c>
      <c r="I29" s="39">
        <f ca="1">Table3112[[#This Row],[Course Offerings Todate]]*Table3112[[#This Row],[Quotas Per Convening]]</f>
        <v>0</v>
      </c>
      <c r="J29" s="39">
        <f>SUM(Table3112[[#This Row],[Total Grads]]+Table3112[[#This Row],[Fails]]+Table3112[[#This Row],[No Shows]])</f>
        <v>12</v>
      </c>
      <c r="K29" s="39">
        <f>SUMIF(Table2[Course Title],Table3112[[#This Row],[Courses - Planned vs Need (Active Courses)]],Table2[Graduates])</f>
        <v>12</v>
      </c>
      <c r="L29" s="39">
        <f>SUMIF(Table2[Course Title],Table3112[[#This Row],[Courses - Planned vs Need (Active Courses)]],Table2[Fail])</f>
        <v>0</v>
      </c>
      <c r="M29" s="39">
        <f>SUMIF(Table2[Course Title],Table3112[[#This Row],[Courses - Planned vs Need (Active Courses)]],Table2[No Shows])</f>
        <v>0</v>
      </c>
      <c r="N29" s="39">
        <f>SUMIF(Table2[Course Title],Table3112[[#This Row],[Courses - Planned vs Need (Active Courses)]],Table2[Walk-ins])</f>
        <v>0</v>
      </c>
    </row>
    <row r="30" spans="2:14" ht="15.75" x14ac:dyDescent="0.25">
      <c r="B30" s="88" t="s">
        <v>49</v>
      </c>
      <c r="C30" s="39"/>
      <c r="D30" s="39" t="s">
        <v>30</v>
      </c>
      <c r="E30" s="39">
        <f>COUNTIFS(Table2[Course Title],Table3112[[#This Row],[Courses - Planned vs Need (Active Courses)]],Table2[Open Quotas],"0")</f>
        <v>0</v>
      </c>
      <c r="F30" s="76">
        <f>COUNTIFS(Table2[Course Title],Table3112[[#This Row],[Courses - Planned vs Need (Active Courses)]],Table2[Location],"Global Online",Table2[Open Quotas],"0")</f>
        <v>0</v>
      </c>
      <c r="G30" s="39">
        <f>Table3112[[#This Row],[Course Offerings Todate]]-Table3112[[#This Row],[Online]]</f>
        <v>0</v>
      </c>
      <c r="H30" s="37">
        <v>25</v>
      </c>
      <c r="I30" s="39">
        <f>Table3112[[#This Row],[Course Offerings Todate]]*Table3112[[#This Row],[Quotas Per Convening]]</f>
        <v>0</v>
      </c>
      <c r="J30" s="39">
        <f>SUM(Table3112[[#This Row],[Total Grads]]+Table3112[[#This Row],[Fails]]+Table3112[[#This Row],[No Shows]])</f>
        <v>27</v>
      </c>
      <c r="K30" s="39">
        <f>SUMIF(Table2[Course Title],Table3112[[#This Row],[Courses - Planned vs Need (Active Courses)]],Table2[Graduates])</f>
        <v>22</v>
      </c>
      <c r="L30" s="39">
        <f>SUMIF(Table2[Course Title],Table3112[[#This Row],[Courses - Planned vs Need (Active Courses)]],Table2[Fail])</f>
        <v>0</v>
      </c>
      <c r="M30" s="39">
        <f>SUMIF(Table2[Course Title],Table3112[[#This Row],[Courses - Planned vs Need (Active Courses)]],Table2[No Shows])</f>
        <v>5</v>
      </c>
      <c r="N30" s="39">
        <f>SUMIF(Table2[Course Title],Table3112[[#This Row],[Courses - Planned vs Need (Active Courses)]],Table2[Walk-ins])</f>
        <v>0</v>
      </c>
    </row>
    <row r="31" spans="2:14" ht="15.75" x14ac:dyDescent="0.25">
      <c r="B31" s="88" t="s">
        <v>50</v>
      </c>
      <c r="C31" s="39"/>
      <c r="D31" s="39" t="s">
        <v>30</v>
      </c>
      <c r="E31" s="39">
        <f>COUNTIFS(Table2[Course Title],Table3112[[#This Row],[Courses - Planned vs Need (Active Courses)]],Table2[Open Quotas],"0")</f>
        <v>10</v>
      </c>
      <c r="F31" s="76">
        <f>COUNTIFS(Table2[Course Title],Table3112[[#This Row],[Courses - Planned vs Need (Active Courses)]],Table2[Location],"Global Online",Table2[Open Quotas],"0")</f>
        <v>10</v>
      </c>
      <c r="G31" s="39">
        <f>Table3112[[#This Row],[Course Offerings Todate]]-Table3112[[#This Row],[Online]]</f>
        <v>0</v>
      </c>
      <c r="H31" s="37">
        <v>40</v>
      </c>
      <c r="I31" s="39">
        <f>Table3112[[#This Row],[Course Offerings Todate]]*Table3112[[#This Row],[Quotas Per Convening]]</f>
        <v>400</v>
      </c>
      <c r="J31" s="39">
        <f>SUM(Table3112[[#This Row],[Total Grads]]+Table3112[[#This Row],[Fails]]+Table3112[[#This Row],[No Shows]])</f>
        <v>435</v>
      </c>
      <c r="K31" s="39">
        <f>SUMIF(Table2[Course Title],Table3112[[#This Row],[Courses - Planned vs Need (Active Courses)]],Table2[Graduates])</f>
        <v>354</v>
      </c>
      <c r="L31" s="39">
        <f>SUMIF(Table2[Course Title],Table3112[[#This Row],[Courses - Planned vs Need (Active Courses)]],Table2[Fail])</f>
        <v>7</v>
      </c>
      <c r="M31" s="39">
        <f>SUMIF(Table2[Course Title],Table3112[[#This Row],[Courses - Planned vs Need (Active Courses)]],Table2[No Shows])</f>
        <v>74</v>
      </c>
      <c r="N31" s="39">
        <f>SUMIF(Table2[Course Title],Table3112[[#This Row],[Courses - Planned vs Need (Active Courses)]],Table2[Walk-ins])</f>
        <v>19</v>
      </c>
    </row>
    <row r="32" spans="2:14" ht="15.75" x14ac:dyDescent="0.25">
      <c r="B32" s="88" t="s">
        <v>51</v>
      </c>
      <c r="C32" s="39"/>
      <c r="D32" s="39" t="s">
        <v>30</v>
      </c>
      <c r="E32" s="39">
        <f>COUNTIFS(Table2[Course Title],Table3112[[#This Row],[Courses - Planned vs Need (Active Courses)]],Table2[Open Quotas],"0")</f>
        <v>0</v>
      </c>
      <c r="F32" s="76">
        <f>COUNTIFS(Table2[Course Title],Table3112[[#This Row],[Courses - Planned vs Need (Active Courses)]],Table2[Location],"Global Online",Table2[Open Quotas],"0")</f>
        <v>0</v>
      </c>
      <c r="G32" s="39">
        <f>Table3112[[#This Row],[Course Offerings Todate]]-Table3112[[#This Row],[Online]]</f>
        <v>0</v>
      </c>
      <c r="H32" s="37">
        <v>30</v>
      </c>
      <c r="I32" s="39">
        <f>Table3112[[#This Row],[Course Offerings Todate]]*Table3112[[#This Row],[Quotas Per Convening]]</f>
        <v>0</v>
      </c>
      <c r="J32" s="39">
        <f>SUM(Table3112[[#This Row],[Total Grads]]+Table3112[[#This Row],[Fails]]+Table3112[[#This Row],[No Shows]])</f>
        <v>139</v>
      </c>
      <c r="K32" s="39">
        <f>SUMIF(Table2[Course Title],Table3112[[#This Row],[Courses - Planned vs Need (Active Courses)]],Table2[Graduates])</f>
        <v>113</v>
      </c>
      <c r="L32" s="39">
        <f>SUMIF(Table2[Course Title],Table3112[[#This Row],[Courses - Planned vs Need (Active Courses)]],Table2[Fail])</f>
        <v>5</v>
      </c>
      <c r="M32" s="39">
        <f>SUMIF(Table2[Course Title],Table3112[[#This Row],[Courses - Planned vs Need (Active Courses)]],Table2[No Shows])</f>
        <v>21</v>
      </c>
      <c r="N32" s="39">
        <f>SUMIF(Table2[Course Title],Table3112[[#This Row],[Courses - Planned vs Need (Active Courses)]],Table2[Walk-ins])</f>
        <v>1</v>
      </c>
    </row>
    <row r="33" spans="2:14" ht="15.75" x14ac:dyDescent="0.25">
      <c r="B33" s="88" t="s">
        <v>52</v>
      </c>
      <c r="C33" s="39"/>
      <c r="D33" s="39" t="s">
        <v>30</v>
      </c>
      <c r="E33" s="39">
        <f ca="1">COUNTIFS(Table2[Course Title],Table3112[[#This Row],[Courses - Planned vs Need (Active Courses)]],Table2[Open Quotas],"0")</f>
        <v>0</v>
      </c>
      <c r="F33" s="76">
        <f ca="1">COUNTIFS(Table2[Course Title],Table3112[[#This Row],[Courses - Planned vs Need (Active Courses)]],Table2[Location],"Global Online",Table2[Open Quotas],"0")</f>
        <v>0</v>
      </c>
      <c r="G33" s="39">
        <f ca="1">Table3112[[#This Row],[Course Offerings Todate]]-Table3112[[#This Row],[Online]]</f>
        <v>0</v>
      </c>
      <c r="H33" s="37">
        <v>30</v>
      </c>
      <c r="I33" s="39">
        <f ca="1">Table3112[[#This Row],[Course Offerings Todate]]*Table3112[[#This Row],[Quotas Per Convening]]</f>
        <v>0</v>
      </c>
      <c r="J33" s="39">
        <f>SUM(Table3112[[#This Row],[Total Grads]]+Table3112[[#This Row],[Fails]]+Table3112[[#This Row],[No Shows]])</f>
        <v>137</v>
      </c>
      <c r="K33" s="39">
        <f>SUMIF(Table2[Course Title],Table3112[[#This Row],[Courses - Planned vs Need (Active Courses)]],Table2[Graduates])</f>
        <v>109</v>
      </c>
      <c r="L33" s="39">
        <f>SUMIF(Table2[Course Title],Table3112[[#This Row],[Courses - Planned vs Need (Active Courses)]],Table2[Fail])</f>
        <v>5</v>
      </c>
      <c r="M33" s="39">
        <f>SUMIF(Table2[Course Title],Table3112[[#This Row],[Courses - Planned vs Need (Active Courses)]],Table2[No Shows])</f>
        <v>23</v>
      </c>
      <c r="N33" s="39">
        <f>SUMIF(Table2[Course Title],Table3112[[#This Row],[Courses - Planned vs Need (Active Courses)]],Table2[Walk-ins])</f>
        <v>0</v>
      </c>
    </row>
    <row r="34" spans="2:14" ht="15.75" x14ac:dyDescent="0.25">
      <c r="B34" s="88" t="s">
        <v>53</v>
      </c>
      <c r="C34" s="39"/>
      <c r="D34" s="39" t="s">
        <v>30</v>
      </c>
      <c r="E34" s="39">
        <f ca="1">COUNTIFS(Table2[Course Title],Table3112[[#This Row],[Courses - Planned vs Need (Active Courses)]],Table2[Open Quotas],"0")</f>
        <v>3</v>
      </c>
      <c r="F34" s="76">
        <f>COUNTIFS(Table2[Course Title],Table3112[[#This Row],[Courses - Planned vs Need (Active Courses)]],Table2[Location],"Global Online",Table2[Open Quotas],"0")</f>
        <v>0</v>
      </c>
      <c r="G34" s="39">
        <f ca="1">Table3112[[#This Row],[Course Offerings Todate]]-Table3112[[#This Row],[Online]]</f>
        <v>3</v>
      </c>
      <c r="H34" s="37">
        <v>30</v>
      </c>
      <c r="I34" s="39">
        <f ca="1">Table3112[[#This Row],[Course Offerings Todate]]*Table3112[[#This Row],[Quotas Per Convening]]</f>
        <v>90</v>
      </c>
      <c r="J34" s="39">
        <f>SUM(Table3112[[#This Row],[Total Grads]]+Table3112[[#This Row],[Fails]]+Table3112[[#This Row],[No Shows]])</f>
        <v>336</v>
      </c>
      <c r="K34" s="39">
        <f>SUMIF(Table2[Course Title],Table3112[[#This Row],[Courses - Planned vs Need (Active Courses)]],Table2[Graduates])</f>
        <v>285</v>
      </c>
      <c r="L34" s="39">
        <f>SUMIF(Table2[Course Title],Table3112[[#This Row],[Courses - Planned vs Need (Active Courses)]],Table2[Fail])</f>
        <v>4</v>
      </c>
      <c r="M34" s="39">
        <f>SUMIF(Table2[Course Title],Table3112[[#This Row],[Courses - Planned vs Need (Active Courses)]],Table2[No Shows])</f>
        <v>47</v>
      </c>
      <c r="N34" s="39">
        <f>SUMIF(Table2[Course Title],Table3112[[#This Row],[Courses - Planned vs Need (Active Courses)]],Table2[Walk-ins])</f>
        <v>25</v>
      </c>
    </row>
    <row r="35" spans="2:14" ht="15.75" x14ac:dyDescent="0.25">
      <c r="B35" s="88" t="s">
        <v>54</v>
      </c>
      <c r="C35" s="39"/>
      <c r="D35" s="39" t="s">
        <v>30</v>
      </c>
      <c r="E35" s="39">
        <f>COUNTIFS(Table2[Course Title],Table3112[[#This Row],[Courses - Planned vs Need (Active Courses)]],Table2[Open Quotas],"0")</f>
        <v>0</v>
      </c>
      <c r="F35" s="76">
        <f>COUNTIFS(Table2[Course Title],Table3112[[#This Row],[Courses - Planned vs Need (Active Courses)]],Table2[Location],"Global Online",Table2[Open Quotas],"0")</f>
        <v>0</v>
      </c>
      <c r="G35" s="39">
        <f>Table3112[[#This Row],[Course Offerings Todate]]-Table3112[[#This Row],[Online]]</f>
        <v>0</v>
      </c>
      <c r="H35" s="37">
        <v>25</v>
      </c>
      <c r="I35" s="39">
        <f>Table3112[[#This Row],[Course Offerings Todate]]*Table3112[[#This Row],[Quotas Per Convening]]</f>
        <v>0</v>
      </c>
      <c r="J35" s="39">
        <f>SUM(Table3112[[#This Row],[Total Grads]]+Table3112[[#This Row],[Fails]]+Table3112[[#This Row],[No Shows]])</f>
        <v>31</v>
      </c>
      <c r="K35" s="39">
        <f>SUMIF(Table2[Course Title],Table3112[[#This Row],[Courses - Planned vs Need (Active Courses)]],Table2[Graduates])</f>
        <v>22</v>
      </c>
      <c r="L35" s="39">
        <f>SUMIF(Table2[Course Title],Table3112[[#This Row],[Courses - Planned vs Need (Active Courses)]],Table2[Fail])</f>
        <v>0</v>
      </c>
      <c r="M35" s="39">
        <f>SUMIF(Table2[Course Title],Table3112[[#This Row],[Courses - Planned vs Need (Active Courses)]],Table2[No Shows])</f>
        <v>9</v>
      </c>
      <c r="N35" s="39">
        <f>SUMIF(Table2[Course Title],Table3112[[#This Row],[Courses - Planned vs Need (Active Courses)]],Table2[Walk-ins])</f>
        <v>0</v>
      </c>
    </row>
    <row r="36" spans="2:14" ht="15.75" x14ac:dyDescent="0.25">
      <c r="B36" s="89" t="s">
        <v>55</v>
      </c>
      <c r="C36" s="39" t="s">
        <v>18</v>
      </c>
      <c r="D36" s="39" t="s">
        <v>30</v>
      </c>
      <c r="E36" s="39">
        <f ca="1">COUNTIFS(Table2[Course Title],Table3112[[#This Row],[Courses - Planned vs Need (Active Courses)]],Table2[Open Quotas],"0")</f>
        <v>5</v>
      </c>
      <c r="F36" s="76">
        <f>COUNTIFS(Table2[Course Title],Table3112[[#This Row],[Courses - Planned vs Need (Active Courses)]],Table2[Location],"Global Online",Table2[Open Quotas],"0")</f>
        <v>0</v>
      </c>
      <c r="G36" s="39">
        <f ca="1">Table3112[[#This Row],[Course Offerings Todate]]-Table3112[[#This Row],[Online]]</f>
        <v>5</v>
      </c>
      <c r="H36" s="37">
        <v>25</v>
      </c>
      <c r="I36" s="39">
        <f ca="1">Table3112[[#This Row],[Course Offerings Todate]]*Table3112[[#This Row],[Quotas Per Convening]]</f>
        <v>125</v>
      </c>
      <c r="J36" s="39">
        <f>SUM(Table3112[[#This Row],[Total Grads]]+Table3112[[#This Row],[Fails]]+Table3112[[#This Row],[No Shows]])</f>
        <v>472</v>
      </c>
      <c r="K36" s="39">
        <f>SUMIF(Table2[Course Title],Table3112[[#This Row],[Courses - Planned vs Need (Active Courses)]],Table2[Graduates])</f>
        <v>389</v>
      </c>
      <c r="L36" s="39">
        <f>SUMIF(Table2[Course Title],Table3112[[#This Row],[Courses - Planned vs Need (Active Courses)]],Table2[Fail])</f>
        <v>1</v>
      </c>
      <c r="M36" s="39">
        <f>SUMIF(Table2[Course Title],Table3112[[#This Row],[Courses - Planned vs Need (Active Courses)]],Table2[No Shows])</f>
        <v>82</v>
      </c>
      <c r="N36" s="39">
        <f>SUMIF(Table2[Course Title],Table3112[[#This Row],[Courses - Planned vs Need (Active Courses)]],Table2[Walk-ins])</f>
        <v>5</v>
      </c>
    </row>
    <row r="37" spans="2:14" ht="15.75" x14ac:dyDescent="0.25">
      <c r="B37" s="89" t="s">
        <v>56</v>
      </c>
      <c r="C37" s="39" t="s">
        <v>18</v>
      </c>
      <c r="D37" s="39" t="s">
        <v>30</v>
      </c>
      <c r="E37" s="39">
        <f>COUNTIFS(Table2[Course Title],Table3112[[#This Row],[Courses - Planned vs Need (Active Courses)]],Table2[Open Quotas],"0")</f>
        <v>0</v>
      </c>
      <c r="F37" s="76">
        <f>COUNTIFS(Table2[Course Title],Table3112[[#This Row],[Courses - Planned vs Need (Active Courses)]],Table2[Location],"Global Online",Table2[Open Quotas],"0")</f>
        <v>0</v>
      </c>
      <c r="G37" s="39">
        <f>Table3112[[#This Row],[Course Offerings Todate]]-Table3112[[#This Row],[Online]]</f>
        <v>0</v>
      </c>
      <c r="H37" s="37">
        <v>35</v>
      </c>
      <c r="I37" s="39">
        <f>Table3112[[#This Row],[Course Offerings Todate]]*Table3112[[#This Row],[Quotas Per Convening]]</f>
        <v>0</v>
      </c>
      <c r="J37" s="39">
        <f>SUM(Table3112[[#This Row],[Total Grads]]+Table3112[[#This Row],[Fails]]+Table3112[[#This Row],[No Shows]])</f>
        <v>0</v>
      </c>
      <c r="K37" s="39">
        <f>SUMIF(Table2[Course Title],Table3112[[#This Row],[Courses - Planned vs Need (Active Courses)]],Table2[Graduates])</f>
        <v>0</v>
      </c>
      <c r="L37" s="39">
        <f>SUMIF(Table2[Course Title],Table3112[[#This Row],[Courses - Planned vs Need (Active Courses)]],Table2[Fail])</f>
        <v>0</v>
      </c>
      <c r="M37" s="39">
        <f>SUMIF(Table2[Course Title],Table3112[[#This Row],[Courses - Planned vs Need (Active Courses)]],Table2[No Shows])</f>
        <v>0</v>
      </c>
      <c r="N37" s="39">
        <f>SUMIF(Table2[Course Title],Table3112[[#This Row],[Courses - Planned vs Need (Active Courses)]],Table2[Walk-ins])</f>
        <v>0</v>
      </c>
    </row>
    <row r="38" spans="2:14" ht="15.75" x14ac:dyDescent="0.25">
      <c r="B38" s="88" t="s">
        <v>57</v>
      </c>
      <c r="C38" s="39"/>
      <c r="D38" s="39" t="s">
        <v>30</v>
      </c>
      <c r="E38" s="39">
        <f ca="1">COUNTIFS(Table2[Course Title],Table3112[[#This Row],[Courses - Planned vs Need (Active Courses)]],Table2[Open Quotas],"0")</f>
        <v>1</v>
      </c>
      <c r="F38" s="76">
        <f ca="1">COUNTIFS(Table2[Course Title],Table3112[[#This Row],[Courses - Planned vs Need (Active Courses)]],Table2[Location],"Global Online",Table2[Open Quotas],"0")</f>
        <v>1</v>
      </c>
      <c r="G38" s="39">
        <f ca="1">Table3112[[#This Row],[Course Offerings Todate]]-Table3112[[#This Row],[Online]]</f>
        <v>0</v>
      </c>
      <c r="H38" s="37">
        <v>45</v>
      </c>
      <c r="I38" s="39">
        <f ca="1">Table3112[[#This Row],[Course Offerings Todate]]*Table3112[[#This Row],[Quotas Per Convening]]</f>
        <v>45</v>
      </c>
      <c r="J38" s="39">
        <f>SUM(Table3112[[#This Row],[Total Grads]]+Table3112[[#This Row],[Fails]]+Table3112[[#This Row],[No Shows]])</f>
        <v>368</v>
      </c>
      <c r="K38" s="39">
        <f>SUMIF(Table2[Course Title],Table3112[[#This Row],[Courses - Planned vs Need (Active Courses)]],Table2[Graduates])</f>
        <v>287</v>
      </c>
      <c r="L38" s="39">
        <f>SUMIF(Table2[Course Title],Table3112[[#This Row],[Courses - Planned vs Need (Active Courses)]],Table2[Fail])</f>
        <v>4</v>
      </c>
      <c r="M38" s="39">
        <f>SUMIF(Table2[Course Title],Table3112[[#This Row],[Courses - Planned vs Need (Active Courses)]],Table2[No Shows])</f>
        <v>77</v>
      </c>
      <c r="N38" s="39">
        <f>SUMIF(Table2[Course Title],Table3112[[#This Row],[Courses - Planned vs Need (Active Courses)]],Table2[Walk-ins])</f>
        <v>8</v>
      </c>
    </row>
    <row r="39" spans="2:14" ht="15.75" x14ac:dyDescent="0.25">
      <c r="B39" s="89" t="s">
        <v>58</v>
      </c>
      <c r="C39" s="39" t="s">
        <v>18</v>
      </c>
      <c r="D39" s="39" t="s">
        <v>30</v>
      </c>
      <c r="E39" s="39">
        <f ca="1">COUNTIFS(Table2[Course Title],Table3112[[#This Row],[Courses - Planned vs Need (Active Courses)]],Table2[Open Quotas],"0")</f>
        <v>0</v>
      </c>
      <c r="F39" s="76">
        <f>COUNTIFS(Table2[Course Title],Table3112[[#This Row],[Courses - Planned vs Need (Active Courses)]],Table2[Location],"Global Online",Table2[Open Quotas],"0")</f>
        <v>0</v>
      </c>
      <c r="G39" s="39">
        <f ca="1">Table3112[[#This Row],[Course Offerings Todate]]-Table3112[[#This Row],[Online]]</f>
        <v>0</v>
      </c>
      <c r="H39" s="37">
        <v>30</v>
      </c>
      <c r="I39" s="39">
        <f ca="1">Table3112[[#This Row],[Course Offerings Todate]]*Table3112[[#This Row],[Quotas Per Convening]]</f>
        <v>0</v>
      </c>
      <c r="J39" s="39">
        <f>SUM(Table3112[[#This Row],[Total Grads]]+Table3112[[#This Row],[Fails]]+Table3112[[#This Row],[No Shows]])</f>
        <v>47</v>
      </c>
      <c r="K39" s="39">
        <f>SUMIF(Table2[Course Title],Table3112[[#This Row],[Courses - Planned vs Need (Active Courses)]],Table2[Graduates])</f>
        <v>39</v>
      </c>
      <c r="L39" s="39">
        <f>SUMIF(Table2[Course Title],Table3112[[#This Row],[Courses - Planned vs Need (Active Courses)]],Table2[Fail])</f>
        <v>0</v>
      </c>
      <c r="M39" s="39">
        <f>SUMIF(Table2[Course Title],Table3112[[#This Row],[Courses - Planned vs Need (Active Courses)]],Table2[No Shows])</f>
        <v>8</v>
      </c>
      <c r="N39" s="39">
        <f>SUMIF(Table2[Course Title],Table3112[[#This Row],[Courses - Planned vs Need (Active Courses)]],Table2[Walk-ins])</f>
        <v>1</v>
      </c>
    </row>
    <row r="40" spans="2:14" ht="15.75" x14ac:dyDescent="0.25">
      <c r="B40" s="88" t="s">
        <v>38</v>
      </c>
      <c r="C40" s="39"/>
      <c r="D40" s="39" t="s">
        <v>30</v>
      </c>
      <c r="E40" s="39">
        <f>COUNTIFS(Table2[Course Title],Table3112[[#This Row],[Courses - Planned vs Need (Active Courses)]],Table2[Open Quotas],"0")</f>
        <v>0</v>
      </c>
      <c r="F40" s="76">
        <f>COUNTIFS(Table2[Course Title],Table3112[[#This Row],[Courses - Planned vs Need (Active Courses)]],Table2[Location],"Global Online",Table2[Open Quotas],"0")</f>
        <v>0</v>
      </c>
      <c r="G40" s="39">
        <f>Table3112[[#This Row],[Course Offerings Todate]]-Table3112[[#This Row],[Online]]</f>
        <v>0</v>
      </c>
      <c r="H40" s="37">
        <v>45</v>
      </c>
      <c r="I40" s="39">
        <f>Table3112[[#This Row],[Course Offerings Todate]]*Table3112[[#This Row],[Quotas Per Convening]]</f>
        <v>0</v>
      </c>
      <c r="J40" s="39">
        <f>SUM(Table3112[[#This Row],[Total Grads]]+Table3112[[#This Row],[Fails]]+Table3112[[#This Row],[No Shows]])</f>
        <v>263</v>
      </c>
      <c r="K40" s="39">
        <f>SUMIF(Table2[Course Title],Table3112[[#This Row],[Courses - Planned vs Need (Active Courses)]],Table2[Graduates])</f>
        <v>221</v>
      </c>
      <c r="L40" s="39">
        <f>SUMIF(Table2[Course Title],Table3112[[#This Row],[Courses - Planned vs Need (Active Courses)]],Table2[Fail])</f>
        <v>0</v>
      </c>
      <c r="M40" s="39">
        <f>SUMIF(Table2[Course Title],Table3112[[#This Row],[Courses - Planned vs Need (Active Courses)]],Table2[No Shows])</f>
        <v>42</v>
      </c>
      <c r="N40" s="39">
        <f>SUMIF(Table2[Course Title],Table3112[[#This Row],[Courses - Planned vs Need (Active Courses)]],Table2[Walk-ins])</f>
        <v>0</v>
      </c>
    </row>
    <row r="41" spans="2:14" ht="15.75" x14ac:dyDescent="0.25">
      <c r="B41" s="88" t="s">
        <v>59</v>
      </c>
      <c r="C41" s="39"/>
      <c r="D41" s="39" t="s">
        <v>30</v>
      </c>
      <c r="E41" s="39">
        <f ca="1">COUNTIFS(Table2[Course Title],Table3112[[#This Row],[Courses - Planned vs Need (Active Courses)]],Table2[Open Quotas],"0")</f>
        <v>9</v>
      </c>
      <c r="F41" s="76">
        <f ca="1">COUNTIFS(Table2[Course Title],Table3112[[#This Row],[Courses - Planned vs Need (Active Courses)]],Table2[Location],"Global Online",Table2[Open Quotas],"0")</f>
        <v>9</v>
      </c>
      <c r="G41" s="39">
        <f ca="1">Table3112[[#This Row],[Course Offerings Todate]]-Table3112[[#This Row],[Online]]</f>
        <v>0</v>
      </c>
      <c r="H41" s="37">
        <v>45</v>
      </c>
      <c r="I41" s="39">
        <f ca="1">Table3112[[#This Row],[Course Offerings Todate]]*Table3112[[#This Row],[Quotas Per Convening]]</f>
        <v>405</v>
      </c>
      <c r="J41" s="39">
        <f>SUM(Table3112[[#This Row],[Total Grads]]+Table3112[[#This Row],[Fails]]+Table3112[[#This Row],[No Shows]])</f>
        <v>663</v>
      </c>
      <c r="K41" s="39">
        <f>SUMIF(Table2[Course Title],Table3112[[#This Row],[Courses - Planned vs Need (Active Courses)]],Table2[Graduates])</f>
        <v>565</v>
      </c>
      <c r="L41" s="39">
        <f>SUMIF(Table2[Course Title],Table3112[[#This Row],[Courses - Planned vs Need (Active Courses)]],Table2[Fail])</f>
        <v>4</v>
      </c>
      <c r="M41" s="39">
        <f>SUMIF(Table2[Course Title],Table3112[[#This Row],[Courses - Planned vs Need (Active Courses)]],Table2[No Shows])</f>
        <v>94</v>
      </c>
      <c r="N41" s="39">
        <f>SUMIF(Table2[Course Title],Table3112[[#This Row],[Courses - Planned vs Need (Active Courses)]],Table2[Walk-ins])</f>
        <v>7</v>
      </c>
    </row>
    <row r="42" spans="2:14" ht="15.75" x14ac:dyDescent="0.25">
      <c r="B42" s="89" t="s">
        <v>60</v>
      </c>
      <c r="C42" s="39" t="s">
        <v>18</v>
      </c>
      <c r="D42" s="39" t="s">
        <v>30</v>
      </c>
      <c r="E42" s="39">
        <f>COUNTIFS(Table2[Course Title],Table3112[[#This Row],[Courses - Planned vs Need (Active Courses)]],Table2[Open Quotas],"0")</f>
        <v>0</v>
      </c>
      <c r="F42" s="76">
        <f>COUNTIFS(Table2[Course Title],Table3112[[#This Row],[Courses - Planned vs Need (Active Courses)]],Table2[Location],"Global Online",Table2[Open Quotas],"0")</f>
        <v>0</v>
      </c>
      <c r="G42" s="39">
        <f>Table3112[[#This Row],[Course Offerings Todate]]-Table3112[[#This Row],[Online]]</f>
        <v>0</v>
      </c>
      <c r="H42" s="37">
        <v>30</v>
      </c>
      <c r="I42" s="39">
        <f>Table3112[[#This Row],[Course Offerings Todate]]*Table3112[[#This Row],[Quotas Per Convening]]</f>
        <v>0</v>
      </c>
      <c r="J42" s="39">
        <f>SUM(Table3112[[#This Row],[Total Grads]]+Table3112[[#This Row],[Fails]]+Table3112[[#This Row],[No Shows]])</f>
        <v>76</v>
      </c>
      <c r="K42" s="39">
        <f>SUMIF(Table2[Course Title],Table3112[[#This Row],[Courses - Planned vs Need (Active Courses)]],Table2[Graduates])</f>
        <v>60</v>
      </c>
      <c r="L42" s="39">
        <f>SUMIF(Table2[Course Title],Table3112[[#This Row],[Courses - Planned vs Need (Active Courses)]],Table2[Fail])</f>
        <v>0</v>
      </c>
      <c r="M42" s="39">
        <f>SUMIF(Table2[Course Title],Table3112[[#This Row],[Courses - Planned vs Need (Active Courses)]],Table2[No Shows])</f>
        <v>16</v>
      </c>
      <c r="N42" s="39">
        <f>SUMIF(Table2[Course Title],Table3112[[#This Row],[Courses - Planned vs Need (Active Courses)]],Table2[Walk-ins])</f>
        <v>0</v>
      </c>
    </row>
    <row r="43" spans="2:14" ht="15.75" x14ac:dyDescent="0.25">
      <c r="B43" s="88" t="s">
        <v>61</v>
      </c>
      <c r="C43" s="39"/>
      <c r="D43" s="39" t="s">
        <v>30</v>
      </c>
      <c r="E43" s="39">
        <f ca="1">COUNTIFS(Table2[Course Title],Table3112[[#This Row],[Courses - Planned vs Need (Active Courses)]],Table2[Open Quotas],"0")</f>
        <v>1</v>
      </c>
      <c r="F43" s="76">
        <f ca="1">COUNTIFS(Table2[Course Title],Table3112[[#This Row],[Courses - Planned vs Need (Active Courses)]],Table2[Location],"Global Online",Table2[Open Quotas],"0")</f>
        <v>1</v>
      </c>
      <c r="G43" s="39">
        <f ca="1">Table3112[[#This Row],[Course Offerings Todate]]-Table3112[[#This Row],[Online]]</f>
        <v>0</v>
      </c>
      <c r="H43" s="37">
        <v>45</v>
      </c>
      <c r="I43" s="39">
        <f ca="1">Table3112[[#This Row],[Course Offerings Todate]]*Table3112[[#This Row],[Quotas Per Convening]]</f>
        <v>45</v>
      </c>
      <c r="J43" s="39">
        <f>SUM(Table3112[[#This Row],[Total Grads]]+Table3112[[#This Row],[Fails]]+Table3112[[#This Row],[No Shows]])</f>
        <v>487</v>
      </c>
      <c r="K43" s="39">
        <f>SUMIF(Table2[Course Title],Table3112[[#This Row],[Courses - Planned vs Need (Active Courses)]],Table2[Graduates])</f>
        <v>421</v>
      </c>
      <c r="L43" s="39">
        <f>SUMIF(Table2[Course Title],Table3112[[#This Row],[Courses - Planned vs Need (Active Courses)]],Table2[Fail])</f>
        <v>3</v>
      </c>
      <c r="M43" s="39">
        <f>SUMIF(Table2[Course Title],Table3112[[#This Row],[Courses - Planned vs Need (Active Courses)]],Table2[No Shows])</f>
        <v>63</v>
      </c>
      <c r="N43" s="39">
        <f>SUMIF(Table2[Course Title],Table3112[[#This Row],[Courses - Planned vs Need (Active Courses)]],Table2[Walk-ins])</f>
        <v>9</v>
      </c>
    </row>
    <row r="44" spans="2:14" ht="15.75" x14ac:dyDescent="0.25">
      <c r="B44" s="91" t="s">
        <v>62</v>
      </c>
      <c r="C44" s="82"/>
      <c r="D44" s="82"/>
      <c r="E44" s="82">
        <f ca="1">SUM(Table3112[Course Offerings Todate])</f>
        <v>50</v>
      </c>
      <c r="F44" s="83">
        <f ca="1">SUM(Table3112[Online])</f>
        <v>31</v>
      </c>
      <c r="G44" s="83">
        <f ca="1">SUM(Table3112[Resident])</f>
        <v>19</v>
      </c>
      <c r="H44" s="83"/>
      <c r="I44" s="83"/>
      <c r="J44" s="83"/>
      <c r="K44" s="83">
        <f>SUM(Table3112[Total Grads])</f>
        <v>5344</v>
      </c>
      <c r="L44" s="83">
        <f>SUBTOTAL(109,Table3112[Fails])</f>
        <v>113</v>
      </c>
      <c r="M44" s="83">
        <f>SUM(Table3112[No Shows])</f>
        <v>1077</v>
      </c>
      <c r="N44" s="83">
        <f>SUM(Table3112[Walk-ins])</f>
        <v>222</v>
      </c>
    </row>
  </sheetData>
  <mergeCells count="2">
    <mergeCell ref="B4:G4"/>
    <mergeCell ref="K4:N4"/>
  </mergeCells>
  <conditionalFormatting sqref="C6:G6 I6:M6 C7:D15 G7:G15 I7:I15 E7:F43 J7:M43 C18:D43 G18:G43 I18:I43">
    <cfRule type="cellIs" dxfId="1274" priority="3" operator="lessThan">
      <formula>0</formula>
    </cfRule>
  </conditionalFormatting>
  <conditionalFormatting sqref="H6:H15">
    <cfRule type="cellIs" dxfId="1273" priority="2" operator="lessThan">
      <formula>0</formula>
    </cfRule>
  </conditionalFormatting>
  <conditionalFormatting sqref="H18:H43">
    <cfRule type="cellIs" dxfId="1272" priority="1" operator="lessThan">
      <formula>0</formula>
    </cfRule>
  </conditionalFormatting>
  <dataValidations count="1">
    <dataValidation type="list" allowBlank="1" showInputMessage="1" showErrorMessage="1" sqref="B6:B15 B18:B43" xr:uid="{00000000-0002-0000-0A00-000000000000}">
      <formula1>Class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3:F8"/>
  <sheetViews>
    <sheetView workbookViewId="0">
      <selection activeCell="B4" sqref="B4"/>
    </sheetView>
  </sheetViews>
  <sheetFormatPr defaultRowHeight="15" x14ac:dyDescent="0.25"/>
  <cols>
    <col min="1" max="1" width="14.42578125" bestFit="1" customWidth="1"/>
    <col min="2" max="2" width="17.140625" bestFit="1" customWidth="1"/>
    <col min="3" max="3" width="11" bestFit="1" customWidth="1"/>
    <col min="4" max="4" width="16.85546875" bestFit="1" customWidth="1"/>
    <col min="5" max="7" width="18.140625" bestFit="1" customWidth="1"/>
    <col min="8" max="8" width="11.28515625" bestFit="1" customWidth="1"/>
  </cols>
  <sheetData>
    <row r="3" spans="1:6" x14ac:dyDescent="0.25">
      <c r="A3" t="s">
        <v>63</v>
      </c>
      <c r="B3" t="s">
        <v>64</v>
      </c>
      <c r="C3" t="s">
        <v>65</v>
      </c>
      <c r="D3" t="s">
        <v>66</v>
      </c>
    </row>
    <row r="4" spans="1:6" x14ac:dyDescent="0.25">
      <c r="A4" s="363">
        <v>19125</v>
      </c>
      <c r="B4" s="364">
        <v>5528</v>
      </c>
      <c r="C4" s="363">
        <v>128</v>
      </c>
      <c r="D4" s="363">
        <v>1097</v>
      </c>
    </row>
    <row r="5" spans="1:6" x14ac:dyDescent="0.25">
      <c r="B5" s="5" t="s">
        <v>67</v>
      </c>
    </row>
    <row r="7" spans="1:6" x14ac:dyDescent="0.25">
      <c r="D7" s="59" t="s">
        <v>68</v>
      </c>
      <c r="E7" s="59">
        <f>GETPIVOTDATA("Sum of Graduates",$A$3)+GETPIVOTDATA("Sum of Fail",$A$3)</f>
        <v>5656</v>
      </c>
      <c r="F7" s="60">
        <f>E7/GETPIVOTDATA("Sum of Quotas",$A$3)</f>
        <v>0.29573856209150329</v>
      </c>
    </row>
    <row r="8" spans="1:6" x14ac:dyDescent="0.25">
      <c r="D8" s="59" t="s">
        <v>69</v>
      </c>
      <c r="E8" s="59">
        <f>GETPIVOTDATA("Sum of Graduates",$A$3)+GETPIVOTDATA("Sum of Fail",$A$3)+GETPIVOTDATA("Sum of No Shows",$A$3)</f>
        <v>6753</v>
      </c>
      <c r="F8" s="60">
        <f>E8/GETPIVOTDATA("Sum of Quotas",$A$3)</f>
        <v>0.35309803921568628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7591-2F1C-4C8A-A240-F590D5790C51}">
  <sheetPr>
    <tabColor rgb="FFFFC000"/>
  </sheetPr>
  <dimension ref="B1:P40"/>
  <sheetViews>
    <sheetView topLeftCell="A3" workbookViewId="0">
      <selection activeCell="K3" sqref="K3"/>
    </sheetView>
  </sheetViews>
  <sheetFormatPr defaultColWidth="8.85546875" defaultRowHeight="15" x14ac:dyDescent="0.25"/>
  <cols>
    <col min="2" max="2" width="68.140625" style="4" bestFit="1" customWidth="1"/>
    <col min="3" max="3" width="5" bestFit="1" customWidth="1"/>
    <col min="4" max="4" width="11.7109375" style="4" bestFit="1" customWidth="1"/>
    <col min="5" max="5" width="10.5703125" bestFit="1" customWidth="1"/>
    <col min="6" max="6" width="6.7109375" customWidth="1"/>
    <col min="7" max="7" width="11.5703125" hidden="1" customWidth="1"/>
    <col min="8" max="8" width="11.28515625" hidden="1" customWidth="1"/>
    <col min="9" max="9" width="11.7109375" hidden="1" customWidth="1"/>
    <col min="10" max="10" width="11.85546875" hidden="1" customWidth="1"/>
    <col min="11" max="12" width="13.140625" customWidth="1"/>
    <col min="13" max="13" width="8.85546875" hidden="1" customWidth="1"/>
    <col min="14" max="14" width="17.85546875" hidden="1" customWidth="1"/>
    <col min="15" max="15" width="13.85546875" hidden="1" customWidth="1"/>
    <col min="16" max="16" width="13" hidden="1" customWidth="1"/>
  </cols>
  <sheetData>
    <row r="1" spans="2:16" x14ac:dyDescent="0.25">
      <c r="B1" s="4" t="s">
        <v>70</v>
      </c>
    </row>
    <row r="2" spans="2:16" s="14" customFormat="1" ht="45" x14ac:dyDescent="0.25">
      <c r="B2" s="183" t="s">
        <v>71</v>
      </c>
      <c r="C2" s="184" t="s">
        <v>4</v>
      </c>
      <c r="D2" s="184" t="s">
        <v>72</v>
      </c>
      <c r="E2" s="183" t="s">
        <v>73</v>
      </c>
      <c r="F2" s="183" t="s">
        <v>74</v>
      </c>
      <c r="G2" s="183" t="s">
        <v>75</v>
      </c>
      <c r="H2" s="183" t="s">
        <v>76</v>
      </c>
      <c r="I2" s="183" t="s">
        <v>77</v>
      </c>
      <c r="J2" s="185" t="s">
        <v>78</v>
      </c>
      <c r="K2" s="185" t="s">
        <v>79</v>
      </c>
      <c r="L2" s="185" t="s">
        <v>80</v>
      </c>
      <c r="M2" s="186" t="s">
        <v>81</v>
      </c>
      <c r="N2" s="186" t="s">
        <v>82</v>
      </c>
      <c r="O2" s="186" t="s">
        <v>83</v>
      </c>
      <c r="P2" s="186" t="s">
        <v>84</v>
      </c>
    </row>
    <row r="3" spans="2:16" x14ac:dyDescent="0.25">
      <c r="B3" s="202" t="s">
        <v>15</v>
      </c>
      <c r="C3" s="188" t="s">
        <v>85</v>
      </c>
      <c r="D3" s="205" t="s">
        <v>86</v>
      </c>
      <c r="E3" s="187" t="s">
        <v>87</v>
      </c>
      <c r="F3" s="187" t="s">
        <v>88</v>
      </c>
      <c r="G3" s="189">
        <v>337</v>
      </c>
      <c r="H3" s="190">
        <v>45</v>
      </c>
      <c r="I3" s="191">
        <v>7.4888888888888889</v>
      </c>
      <c r="J3" s="192">
        <v>8</v>
      </c>
      <c r="K3" s="193">
        <v>8</v>
      </c>
      <c r="L3" s="210">
        <f>COUNTIF('FY 2025 Schedule'!$B$3:$B$613,'Planning-Need vs Planned'!B3)</f>
        <v>9</v>
      </c>
      <c r="M3" s="193">
        <v>16</v>
      </c>
      <c r="N3" s="193">
        <v>128</v>
      </c>
      <c r="O3" s="189">
        <v>0</v>
      </c>
      <c r="P3" s="194">
        <v>1.0682492581602374</v>
      </c>
    </row>
    <row r="4" spans="2:16" x14ac:dyDescent="0.25">
      <c r="B4" s="202" t="s">
        <v>89</v>
      </c>
      <c r="C4" s="188" t="s">
        <v>90</v>
      </c>
      <c r="D4" s="206" t="s">
        <v>7</v>
      </c>
      <c r="E4" s="187" t="s">
        <v>91</v>
      </c>
      <c r="F4" s="187">
        <v>3878</v>
      </c>
      <c r="G4" s="189">
        <v>325</v>
      </c>
      <c r="H4" s="190">
        <v>25</v>
      </c>
      <c r="I4" s="191">
        <v>13</v>
      </c>
      <c r="J4" s="192">
        <v>13</v>
      </c>
      <c r="K4" s="193">
        <v>2</v>
      </c>
      <c r="L4" s="210">
        <f>COUNTIF('FY 2025 Schedule'!$B$3:$B$613,'Planning-Need vs Planned'!B4)</f>
        <v>3</v>
      </c>
      <c r="M4" s="193">
        <v>24</v>
      </c>
      <c r="N4" s="193">
        <v>48</v>
      </c>
      <c r="O4" s="189">
        <v>-11</v>
      </c>
      <c r="P4" s="194">
        <v>0.15384615384615385</v>
      </c>
    </row>
    <row r="5" spans="2:16" x14ac:dyDescent="0.25">
      <c r="B5" s="202" t="s">
        <v>42</v>
      </c>
      <c r="C5" s="188" t="s">
        <v>90</v>
      </c>
      <c r="D5" s="206" t="s">
        <v>7</v>
      </c>
      <c r="E5" s="187" t="s">
        <v>92</v>
      </c>
      <c r="F5" s="187">
        <v>3879</v>
      </c>
      <c r="G5" s="189">
        <v>341</v>
      </c>
      <c r="H5" s="190">
        <v>30</v>
      </c>
      <c r="I5" s="191">
        <v>11.366666666666667</v>
      </c>
      <c r="J5" s="192">
        <v>12</v>
      </c>
      <c r="K5" s="193">
        <v>4</v>
      </c>
      <c r="L5" s="210">
        <f>COUNTIF('FY 2025 Schedule'!$B$3:$B$613,'Planning-Need vs Planned'!B5)</f>
        <v>3</v>
      </c>
      <c r="M5" s="193">
        <v>4</v>
      </c>
      <c r="N5" s="193">
        <v>16</v>
      </c>
      <c r="O5" s="189">
        <v>-8</v>
      </c>
      <c r="P5" s="194">
        <v>0.35190615835777128</v>
      </c>
    </row>
    <row r="6" spans="2:16" x14ac:dyDescent="0.25">
      <c r="B6" s="202" t="s">
        <v>93</v>
      </c>
      <c r="C6" s="188" t="s">
        <v>90</v>
      </c>
      <c r="D6" s="206" t="s">
        <v>7</v>
      </c>
      <c r="E6" s="187" t="s">
        <v>94</v>
      </c>
      <c r="F6" s="187">
        <v>3882</v>
      </c>
      <c r="G6" s="189">
        <v>128</v>
      </c>
      <c r="H6" s="190">
        <v>25</v>
      </c>
      <c r="I6" s="191">
        <v>5.12</v>
      </c>
      <c r="J6" s="192">
        <v>6</v>
      </c>
      <c r="K6" s="193">
        <v>2</v>
      </c>
      <c r="L6" s="210">
        <f>COUNTIF('FY 2025 Schedule'!$B$3:$B$613,'Planning-Need vs Planned'!B6)</f>
        <v>2</v>
      </c>
      <c r="M6" s="193">
        <v>16</v>
      </c>
      <c r="N6" s="193">
        <v>32</v>
      </c>
      <c r="O6" s="189">
        <v>-4</v>
      </c>
      <c r="P6" s="194">
        <v>0.390625</v>
      </c>
    </row>
    <row r="7" spans="2:16" x14ac:dyDescent="0.25">
      <c r="B7" s="202" t="s">
        <v>44</v>
      </c>
      <c r="C7" s="188" t="s">
        <v>90</v>
      </c>
      <c r="D7" s="206" t="s">
        <v>7</v>
      </c>
      <c r="E7" s="187" t="s">
        <v>95</v>
      </c>
      <c r="F7" s="187">
        <v>3888</v>
      </c>
      <c r="G7" s="189">
        <v>171</v>
      </c>
      <c r="H7" s="190">
        <v>30</v>
      </c>
      <c r="I7" s="191">
        <v>5.7</v>
      </c>
      <c r="J7" s="192">
        <v>6</v>
      </c>
      <c r="K7" s="193">
        <v>4</v>
      </c>
      <c r="L7" s="210">
        <f>COUNTIF('FY 2025 Schedule'!$B$3:$B$613,'Planning-Need vs Planned'!B7)</f>
        <v>4</v>
      </c>
      <c r="M7" s="193">
        <v>4</v>
      </c>
      <c r="N7" s="193">
        <v>16</v>
      </c>
      <c r="O7" s="189">
        <v>-2</v>
      </c>
      <c r="P7" s="194">
        <v>0.70175438596491224</v>
      </c>
    </row>
    <row r="8" spans="2:16" x14ac:dyDescent="0.25">
      <c r="B8" s="202" t="s">
        <v>45</v>
      </c>
      <c r="C8" s="188" t="s">
        <v>90</v>
      </c>
      <c r="D8" s="206" t="s">
        <v>7</v>
      </c>
      <c r="E8" s="187" t="s">
        <v>96</v>
      </c>
      <c r="F8" s="187" t="s">
        <v>97</v>
      </c>
      <c r="G8" s="189">
        <v>197</v>
      </c>
      <c r="H8" s="190">
        <v>25</v>
      </c>
      <c r="I8" s="191">
        <v>7.88</v>
      </c>
      <c r="J8" s="192">
        <v>8</v>
      </c>
      <c r="K8" s="193">
        <v>2</v>
      </c>
      <c r="L8" s="210">
        <f>COUNTIF('FY 2025 Schedule'!$B$3:$B$613,'Planning-Need vs Planned'!B8)</f>
        <v>3</v>
      </c>
      <c r="M8" s="193">
        <v>40</v>
      </c>
      <c r="N8" s="193">
        <v>80</v>
      </c>
      <c r="O8" s="189">
        <v>-6</v>
      </c>
      <c r="P8" s="194">
        <v>0.25380710659898476</v>
      </c>
    </row>
    <row r="9" spans="2:16" x14ac:dyDescent="0.25">
      <c r="B9" s="202" t="s">
        <v>46</v>
      </c>
      <c r="C9" s="188" t="s">
        <v>90</v>
      </c>
      <c r="D9" s="206" t="s">
        <v>7</v>
      </c>
      <c r="E9" s="187" t="s">
        <v>98</v>
      </c>
      <c r="F9" s="187" t="s">
        <v>99</v>
      </c>
      <c r="G9" s="189">
        <v>258</v>
      </c>
      <c r="H9" s="190">
        <v>30</v>
      </c>
      <c r="I9" s="191">
        <v>8.6</v>
      </c>
      <c r="J9" s="192">
        <v>9</v>
      </c>
      <c r="K9" s="193">
        <v>4</v>
      </c>
      <c r="L9" s="210">
        <f>COUNTIF('FY 2025 Schedule'!$B$3:$B$613,'Planning-Need vs Planned'!B9)</f>
        <v>4</v>
      </c>
      <c r="M9" s="193">
        <v>8</v>
      </c>
      <c r="N9" s="193">
        <v>32</v>
      </c>
      <c r="O9" s="189">
        <v>-5</v>
      </c>
      <c r="P9" s="194">
        <v>0.46511627906976744</v>
      </c>
    </row>
    <row r="10" spans="2:16" x14ac:dyDescent="0.25">
      <c r="B10" s="202" t="s">
        <v>37</v>
      </c>
      <c r="C10" s="188" t="s">
        <v>100</v>
      </c>
      <c r="D10" s="205" t="s">
        <v>86</v>
      </c>
      <c r="E10" s="187" t="s">
        <v>101</v>
      </c>
      <c r="F10" s="187" t="s">
        <v>102</v>
      </c>
      <c r="G10" s="189">
        <v>464</v>
      </c>
      <c r="H10" s="190">
        <v>45</v>
      </c>
      <c r="I10" s="191">
        <v>10.311111111111112</v>
      </c>
      <c r="J10" s="192">
        <v>11</v>
      </c>
      <c r="K10" s="193">
        <v>11</v>
      </c>
      <c r="L10" s="210">
        <f>COUNTIF('FY 2025 Schedule'!$B$3:$B$613,'Planning-Need vs Planned'!B10)</f>
        <v>11</v>
      </c>
      <c r="M10" s="193">
        <v>24</v>
      </c>
      <c r="N10" s="193">
        <v>264</v>
      </c>
      <c r="O10" s="189">
        <v>0</v>
      </c>
      <c r="P10" s="194">
        <v>1.0668103448275863</v>
      </c>
    </row>
    <row r="11" spans="2:16" x14ac:dyDescent="0.25">
      <c r="B11" s="203" t="s">
        <v>55</v>
      </c>
      <c r="C11" s="188" t="s">
        <v>103</v>
      </c>
      <c r="D11" s="206" t="s">
        <v>7</v>
      </c>
      <c r="E11" s="187" t="s">
        <v>104</v>
      </c>
      <c r="F11" s="187" t="s">
        <v>105</v>
      </c>
      <c r="G11" s="189">
        <v>2046</v>
      </c>
      <c r="H11" s="190">
        <v>25</v>
      </c>
      <c r="I11" s="191">
        <v>81.84</v>
      </c>
      <c r="J11" s="192">
        <v>82</v>
      </c>
      <c r="K11" s="193">
        <v>50</v>
      </c>
      <c r="L11" s="210">
        <f>COUNTIF('FY 2025 Schedule'!$B$3:$B$613,'Planning-Need vs Planned'!B11)</f>
        <v>35</v>
      </c>
      <c r="M11" s="193">
        <v>40</v>
      </c>
      <c r="N11" s="193">
        <v>2000</v>
      </c>
      <c r="O11" s="189">
        <v>-32</v>
      </c>
      <c r="P11" s="194">
        <v>0.6109481915933529</v>
      </c>
    </row>
    <row r="12" spans="2:16" x14ac:dyDescent="0.25">
      <c r="B12" s="203" t="s">
        <v>47</v>
      </c>
      <c r="C12" s="188" t="s">
        <v>90</v>
      </c>
      <c r="D12" s="206" t="s">
        <v>7</v>
      </c>
      <c r="E12" s="187" t="s">
        <v>106</v>
      </c>
      <c r="F12" s="187" t="s">
        <v>107</v>
      </c>
      <c r="G12" s="189">
        <v>707</v>
      </c>
      <c r="H12" s="190">
        <v>25</v>
      </c>
      <c r="I12" s="191">
        <v>28.28</v>
      </c>
      <c r="J12" s="192">
        <v>29</v>
      </c>
      <c r="K12" s="193">
        <v>6</v>
      </c>
      <c r="L12" s="210">
        <f>COUNTIF('FY 2025 Schedule'!$B$3:$B$613,'Planning-Need vs Planned'!B12)</f>
        <v>6</v>
      </c>
      <c r="M12" s="193">
        <v>40</v>
      </c>
      <c r="N12" s="193">
        <v>400</v>
      </c>
      <c r="O12" s="189">
        <v>-19</v>
      </c>
      <c r="P12" s="194">
        <v>0.3536067892503536</v>
      </c>
    </row>
    <row r="13" spans="2:16" x14ac:dyDescent="0.25">
      <c r="B13" s="203" t="s">
        <v>56</v>
      </c>
      <c r="C13" s="188" t="s">
        <v>103</v>
      </c>
      <c r="D13" s="206" t="s">
        <v>7</v>
      </c>
      <c r="E13" s="187" t="s">
        <v>108</v>
      </c>
      <c r="F13" s="187" t="s">
        <v>109</v>
      </c>
      <c r="G13" s="189">
        <v>620</v>
      </c>
      <c r="H13" s="190">
        <v>35</v>
      </c>
      <c r="I13" s="191">
        <v>17.714285714285715</v>
      </c>
      <c r="J13" s="192">
        <v>18</v>
      </c>
      <c r="K13" s="193">
        <v>5</v>
      </c>
      <c r="L13" s="210">
        <f>COUNTIF('FY 2025 Schedule'!$B$3:$B$613,'Planning-Need vs Planned'!B13)</f>
        <v>3</v>
      </c>
      <c r="M13" s="193">
        <v>30</v>
      </c>
      <c r="N13" s="193">
        <v>150</v>
      </c>
      <c r="O13" s="189">
        <v>-13</v>
      </c>
      <c r="P13" s="194">
        <v>0.28225806451612906</v>
      </c>
    </row>
    <row r="14" spans="2:16" x14ac:dyDescent="0.25">
      <c r="B14" s="202" t="s">
        <v>48</v>
      </c>
      <c r="C14" s="188" t="s">
        <v>90</v>
      </c>
      <c r="D14" s="206" t="s">
        <v>7</v>
      </c>
      <c r="E14" s="187" t="s">
        <v>110</v>
      </c>
      <c r="F14" s="187" t="s">
        <v>111</v>
      </c>
      <c r="G14" s="189">
        <v>61</v>
      </c>
      <c r="H14" s="190">
        <v>25</v>
      </c>
      <c r="I14" s="191">
        <v>2.44</v>
      </c>
      <c r="J14" s="192">
        <v>3</v>
      </c>
      <c r="K14" s="193">
        <v>2</v>
      </c>
      <c r="L14" s="210">
        <f>COUNTIF('FY 2025 Schedule'!$B$3:$B$613,'Planning-Need vs Planned'!B14)</f>
        <v>3</v>
      </c>
      <c r="M14" s="193">
        <v>16</v>
      </c>
      <c r="N14" s="193">
        <v>32</v>
      </c>
      <c r="O14" s="189">
        <v>-1</v>
      </c>
      <c r="P14" s="194">
        <v>0.81967213114754101</v>
      </c>
    </row>
    <row r="15" spans="2:16" x14ac:dyDescent="0.25">
      <c r="B15" s="203" t="s">
        <v>17</v>
      </c>
      <c r="C15" s="188" t="s">
        <v>85</v>
      </c>
      <c r="D15" s="206" t="s">
        <v>7</v>
      </c>
      <c r="E15" s="187" t="s">
        <v>112</v>
      </c>
      <c r="F15" s="187">
        <v>3682</v>
      </c>
      <c r="G15" s="189">
        <v>661</v>
      </c>
      <c r="H15" s="190">
        <v>40</v>
      </c>
      <c r="I15" s="191">
        <v>16.524999999999999</v>
      </c>
      <c r="J15" s="192">
        <v>17</v>
      </c>
      <c r="K15" s="193">
        <v>23</v>
      </c>
      <c r="L15" s="210">
        <f>COUNTIF('FY 2025 Schedule'!$B$3:$B$613,'Planning-Need vs Planned'!B15)</f>
        <v>29</v>
      </c>
      <c r="M15" s="193">
        <v>40</v>
      </c>
      <c r="N15" s="193">
        <v>920</v>
      </c>
      <c r="O15" s="189">
        <v>6</v>
      </c>
      <c r="P15" s="194">
        <v>1.3918305597579426</v>
      </c>
    </row>
    <row r="16" spans="2:16" x14ac:dyDescent="0.25">
      <c r="B16" s="203" t="s">
        <v>28</v>
      </c>
      <c r="C16" s="188" t="s">
        <v>85</v>
      </c>
      <c r="D16" s="206" t="s">
        <v>7</v>
      </c>
      <c r="E16" s="187" t="s">
        <v>113</v>
      </c>
      <c r="F16" s="187">
        <v>3683</v>
      </c>
      <c r="G16" s="189">
        <v>787</v>
      </c>
      <c r="H16" s="190">
        <v>40</v>
      </c>
      <c r="I16" s="191">
        <v>19.675000000000001</v>
      </c>
      <c r="J16" s="192">
        <v>20</v>
      </c>
      <c r="K16" s="193">
        <v>22</v>
      </c>
      <c r="L16" s="210">
        <f>COUNTIF('FY 2025 Schedule'!$B$3:$B$613,'Planning-Need vs Planned'!B16)</f>
        <v>21</v>
      </c>
      <c r="M16" s="193">
        <v>24</v>
      </c>
      <c r="N16" s="193">
        <v>408</v>
      </c>
      <c r="O16" s="189">
        <v>-3</v>
      </c>
      <c r="P16" s="194">
        <v>0.86404066073697583</v>
      </c>
    </row>
    <row r="17" spans="2:16" x14ac:dyDescent="0.25">
      <c r="B17" s="202" t="s">
        <v>57</v>
      </c>
      <c r="C17" s="188" t="s">
        <v>103</v>
      </c>
      <c r="D17" s="205" t="s">
        <v>86</v>
      </c>
      <c r="E17" s="187" t="s">
        <v>114</v>
      </c>
      <c r="F17" s="187" t="s">
        <v>115</v>
      </c>
      <c r="G17" s="189">
        <v>915</v>
      </c>
      <c r="H17" s="190">
        <v>45</v>
      </c>
      <c r="I17" s="191">
        <v>20.333333333333332</v>
      </c>
      <c r="J17" s="192">
        <v>21</v>
      </c>
      <c r="K17" s="193">
        <v>21</v>
      </c>
      <c r="L17" s="210">
        <f>COUNTIF('FY 2025 Schedule'!$B$3:$B$613,'Planning-Need vs Planned'!B17)</f>
        <v>21</v>
      </c>
      <c r="M17" s="193">
        <v>24</v>
      </c>
      <c r="N17" s="193">
        <v>504</v>
      </c>
      <c r="O17" s="189">
        <v>0</v>
      </c>
      <c r="P17" s="194">
        <v>1.0327868852459017</v>
      </c>
    </row>
    <row r="18" spans="2:16" x14ac:dyDescent="0.25">
      <c r="B18" s="203" t="s">
        <v>58</v>
      </c>
      <c r="C18" s="188" t="s">
        <v>103</v>
      </c>
      <c r="D18" s="206" t="s">
        <v>7</v>
      </c>
      <c r="E18" s="187" t="s">
        <v>116</v>
      </c>
      <c r="F18" s="187" t="s">
        <v>117</v>
      </c>
      <c r="G18" s="189">
        <v>883</v>
      </c>
      <c r="H18" s="190">
        <v>30</v>
      </c>
      <c r="I18" s="191">
        <v>29.433333333333334</v>
      </c>
      <c r="J18" s="192">
        <v>30</v>
      </c>
      <c r="K18" s="193">
        <v>14</v>
      </c>
      <c r="L18" s="210">
        <f>COUNTIF('FY 2025 Schedule'!$B$3:$B$613,'Planning-Need vs Planned'!B18)</f>
        <v>11</v>
      </c>
      <c r="M18" s="193">
        <v>32</v>
      </c>
      <c r="N18" s="193">
        <v>448</v>
      </c>
      <c r="O18" s="189">
        <v>-16</v>
      </c>
      <c r="P18" s="194">
        <v>0.47565118912797283</v>
      </c>
    </row>
    <row r="19" spans="2:16" x14ac:dyDescent="0.25">
      <c r="B19" s="202" t="s">
        <v>38</v>
      </c>
      <c r="C19" s="188" t="s">
        <v>103</v>
      </c>
      <c r="D19" s="205" t="s">
        <v>86</v>
      </c>
      <c r="E19" s="187" t="s">
        <v>118</v>
      </c>
      <c r="F19" s="187" t="s">
        <v>119</v>
      </c>
      <c r="G19" s="189">
        <v>721</v>
      </c>
      <c r="H19" s="190">
        <v>45</v>
      </c>
      <c r="I19" s="191">
        <v>16.022222222222222</v>
      </c>
      <c r="J19" s="192">
        <v>17</v>
      </c>
      <c r="K19" s="193">
        <v>17</v>
      </c>
      <c r="L19" s="210">
        <f>COUNTIF('FY 2025 Schedule'!$B$3:$B$613,'Planning-Need vs Planned'!B19)</f>
        <v>17</v>
      </c>
      <c r="M19" s="193">
        <v>30</v>
      </c>
      <c r="N19" s="193">
        <v>510</v>
      </c>
      <c r="O19" s="189">
        <v>0</v>
      </c>
      <c r="P19" s="194">
        <v>1.0610263522884882</v>
      </c>
    </row>
    <row r="20" spans="2:16" x14ac:dyDescent="0.25">
      <c r="B20" s="202" t="s">
        <v>120</v>
      </c>
      <c r="C20" s="188" t="s">
        <v>100</v>
      </c>
      <c r="D20" s="205" t="s">
        <v>86</v>
      </c>
      <c r="E20" s="187" t="s">
        <v>121</v>
      </c>
      <c r="F20" s="187" t="s">
        <v>122</v>
      </c>
      <c r="G20" s="189">
        <v>791</v>
      </c>
      <c r="H20" s="190">
        <v>45</v>
      </c>
      <c r="I20" s="191">
        <v>17.577777777777779</v>
      </c>
      <c r="J20" s="192">
        <v>18</v>
      </c>
      <c r="K20" s="193">
        <v>18</v>
      </c>
      <c r="L20" s="210">
        <f>COUNTIF('FY 2025 Schedule'!$B$3:$B$613,'Planning-Need vs Planned'!B20)</f>
        <v>18</v>
      </c>
      <c r="M20" s="193">
        <v>24</v>
      </c>
      <c r="N20" s="193">
        <v>432</v>
      </c>
      <c r="O20" s="189">
        <v>0</v>
      </c>
      <c r="P20" s="194">
        <v>1.0240202275600505</v>
      </c>
    </row>
    <row r="21" spans="2:16" x14ac:dyDescent="0.25">
      <c r="B21" s="203" t="s">
        <v>29</v>
      </c>
      <c r="C21" s="188" t="s">
        <v>85</v>
      </c>
      <c r="D21" s="206" t="s">
        <v>7</v>
      </c>
      <c r="E21" s="187" t="s">
        <v>123</v>
      </c>
      <c r="F21" s="195" t="s">
        <v>124</v>
      </c>
      <c r="G21" s="189">
        <v>1042</v>
      </c>
      <c r="H21" s="190">
        <v>25</v>
      </c>
      <c r="I21" s="191">
        <v>41.68</v>
      </c>
      <c r="J21" s="192">
        <v>42</v>
      </c>
      <c r="K21" s="193">
        <v>18</v>
      </c>
      <c r="L21" s="210">
        <f>COUNTIF('FY 2025 Schedule'!$B$3:$B$613,'Planning-Need vs Planned'!B21)</f>
        <v>17</v>
      </c>
      <c r="M21" s="193">
        <v>24</v>
      </c>
      <c r="N21" s="193">
        <v>408</v>
      </c>
      <c r="O21" s="189">
        <v>-25</v>
      </c>
      <c r="P21" s="194">
        <v>0.40786948176583493</v>
      </c>
    </row>
    <row r="22" spans="2:16" x14ac:dyDescent="0.25">
      <c r="B22" s="203" t="s">
        <v>31</v>
      </c>
      <c r="C22" s="188" t="s">
        <v>85</v>
      </c>
      <c r="D22" s="206" t="s">
        <v>7</v>
      </c>
      <c r="E22" s="187" t="s">
        <v>125</v>
      </c>
      <c r="F22" s="187" t="s">
        <v>126</v>
      </c>
      <c r="G22" s="189">
        <v>1705</v>
      </c>
      <c r="H22" s="190">
        <v>30</v>
      </c>
      <c r="I22" s="191">
        <v>56.833333333333336</v>
      </c>
      <c r="J22" s="192">
        <v>57</v>
      </c>
      <c r="K22" s="193">
        <v>25</v>
      </c>
      <c r="L22" s="210">
        <f>COUNTIF('FY 2025 Schedule'!$B$3:$B$613,'Planning-Need vs Planned'!B22)</f>
        <v>28</v>
      </c>
      <c r="M22" s="193">
        <v>8</v>
      </c>
      <c r="N22" s="193">
        <v>144</v>
      </c>
      <c r="O22" s="189">
        <v>-39</v>
      </c>
      <c r="P22" s="194">
        <v>0.31671554252199413</v>
      </c>
    </row>
    <row r="23" spans="2:16" x14ac:dyDescent="0.25">
      <c r="B23" s="203" t="s">
        <v>32</v>
      </c>
      <c r="C23" s="188" t="s">
        <v>85</v>
      </c>
      <c r="D23" s="206" t="s">
        <v>7</v>
      </c>
      <c r="E23" s="187" t="s">
        <v>127</v>
      </c>
      <c r="F23" s="187" t="s">
        <v>128</v>
      </c>
      <c r="G23" s="189">
        <v>614</v>
      </c>
      <c r="H23" s="190">
        <v>30</v>
      </c>
      <c r="I23" s="191">
        <v>20.466666666666665</v>
      </c>
      <c r="J23" s="192">
        <v>21</v>
      </c>
      <c r="K23" s="193">
        <v>9</v>
      </c>
      <c r="L23" s="210">
        <f>COUNTIF('FY 2025 Schedule'!$B$3:$B$613,'Planning-Need vs Planned'!B23)</f>
        <v>10</v>
      </c>
      <c r="M23" s="193">
        <v>16</v>
      </c>
      <c r="N23" s="193">
        <v>144</v>
      </c>
      <c r="O23" s="189">
        <v>-12</v>
      </c>
      <c r="P23" s="194">
        <v>0.43973941368078173</v>
      </c>
    </row>
    <row r="24" spans="2:16" x14ac:dyDescent="0.25">
      <c r="B24" s="203" t="s">
        <v>33</v>
      </c>
      <c r="C24" s="188" t="s">
        <v>85</v>
      </c>
      <c r="D24" s="206" t="s">
        <v>7</v>
      </c>
      <c r="E24" s="187" t="s">
        <v>129</v>
      </c>
      <c r="F24" s="187" t="s">
        <v>130</v>
      </c>
      <c r="G24" s="189">
        <v>824</v>
      </c>
      <c r="H24" s="190">
        <v>30</v>
      </c>
      <c r="I24" s="191">
        <v>27.466666666666665</v>
      </c>
      <c r="J24" s="192">
        <v>28</v>
      </c>
      <c r="K24" s="193">
        <v>15</v>
      </c>
      <c r="L24" s="210">
        <f>COUNTIF('FY 2025 Schedule'!$B$3:$B$613,'Planning-Need vs Planned'!B24)</f>
        <v>13</v>
      </c>
      <c r="M24" s="193">
        <v>8</v>
      </c>
      <c r="N24" s="193">
        <v>120</v>
      </c>
      <c r="O24" s="189">
        <v>-13</v>
      </c>
      <c r="P24" s="194">
        <v>0.54611650485436891</v>
      </c>
    </row>
    <row r="25" spans="2:16" x14ac:dyDescent="0.25">
      <c r="B25" s="203" t="s">
        <v>34</v>
      </c>
      <c r="C25" s="188" t="s">
        <v>85</v>
      </c>
      <c r="D25" s="206" t="s">
        <v>7</v>
      </c>
      <c r="E25" s="187" t="s">
        <v>131</v>
      </c>
      <c r="F25" s="187" t="s">
        <v>132</v>
      </c>
      <c r="G25" s="189">
        <v>436</v>
      </c>
      <c r="H25" s="190">
        <v>30</v>
      </c>
      <c r="I25" s="191">
        <v>14.533333333333333</v>
      </c>
      <c r="J25" s="192">
        <v>15</v>
      </c>
      <c r="K25" s="193">
        <v>8</v>
      </c>
      <c r="L25" s="210">
        <f>COUNTIF('FY 2025 Schedule'!$B$3:$B$613,'Planning-Need vs Planned'!B25)</f>
        <v>7</v>
      </c>
      <c r="M25" s="193">
        <v>8</v>
      </c>
      <c r="N25" s="193">
        <v>72</v>
      </c>
      <c r="O25" s="189">
        <v>-6</v>
      </c>
      <c r="P25" s="194">
        <v>0.61926605504587151</v>
      </c>
    </row>
    <row r="26" spans="2:16" x14ac:dyDescent="0.25">
      <c r="B26" s="202" t="s">
        <v>49</v>
      </c>
      <c r="C26" s="188" t="s">
        <v>90</v>
      </c>
      <c r="D26" s="206" t="s">
        <v>7</v>
      </c>
      <c r="E26" s="187" t="s">
        <v>133</v>
      </c>
      <c r="F26" s="187">
        <v>5891</v>
      </c>
      <c r="G26" s="189">
        <v>813</v>
      </c>
      <c r="H26" s="190">
        <v>25</v>
      </c>
      <c r="I26" s="191">
        <v>32.520000000000003</v>
      </c>
      <c r="J26" s="192">
        <v>33</v>
      </c>
      <c r="K26" s="193">
        <v>11</v>
      </c>
      <c r="L26" s="210">
        <f>COUNTIF('FY 2025 Schedule'!$B$3:$B$613,'Planning-Need vs Planned'!B26)</f>
        <v>10</v>
      </c>
      <c r="M26" s="193">
        <v>24</v>
      </c>
      <c r="N26" s="193">
        <v>264</v>
      </c>
      <c r="O26" s="189">
        <v>-22</v>
      </c>
      <c r="P26" s="194">
        <v>0.33825338253382536</v>
      </c>
    </row>
    <row r="27" spans="2:16" x14ac:dyDescent="0.25">
      <c r="B27" s="202" t="s">
        <v>50</v>
      </c>
      <c r="C27" s="188" t="s">
        <v>90</v>
      </c>
      <c r="D27" s="205" t="s">
        <v>86</v>
      </c>
      <c r="E27" s="187" t="s">
        <v>134</v>
      </c>
      <c r="F27" s="187" t="s">
        <v>135</v>
      </c>
      <c r="G27" s="189">
        <v>1075</v>
      </c>
      <c r="H27" s="190">
        <v>40</v>
      </c>
      <c r="I27" s="191">
        <v>26.875</v>
      </c>
      <c r="J27" s="192">
        <v>27</v>
      </c>
      <c r="K27" s="193">
        <v>19</v>
      </c>
      <c r="L27" s="210">
        <f>COUNTIF('FY 2025 Schedule'!$B$3:$B$613,'Planning-Need vs Planned'!B27)</f>
        <v>19</v>
      </c>
      <c r="M27" s="193">
        <v>24</v>
      </c>
      <c r="N27" s="193">
        <v>456</v>
      </c>
      <c r="O27" s="189">
        <v>-8</v>
      </c>
      <c r="P27" s="194">
        <v>0.7069767441860465</v>
      </c>
    </row>
    <row r="28" spans="2:16" x14ac:dyDescent="0.25">
      <c r="B28" s="202" t="s">
        <v>51</v>
      </c>
      <c r="C28" s="188" t="s">
        <v>90</v>
      </c>
      <c r="D28" s="205" t="s">
        <v>86</v>
      </c>
      <c r="E28" s="187" t="s">
        <v>136</v>
      </c>
      <c r="F28" s="187" t="s">
        <v>137</v>
      </c>
      <c r="G28" s="189">
        <v>553</v>
      </c>
      <c r="H28" s="190">
        <v>30</v>
      </c>
      <c r="I28" s="191">
        <v>18.433333333333334</v>
      </c>
      <c r="J28" s="192">
        <v>19</v>
      </c>
      <c r="K28" s="193">
        <v>16</v>
      </c>
      <c r="L28" s="210">
        <f>COUNTIF('FY 2025 Schedule'!$B$3:$B$613,'Planning-Need vs Planned'!B28)</f>
        <v>15</v>
      </c>
      <c r="M28" s="193">
        <v>32</v>
      </c>
      <c r="N28" s="193">
        <v>512</v>
      </c>
      <c r="O28" s="189">
        <v>-3</v>
      </c>
      <c r="P28" s="194">
        <v>0.86799276672694392</v>
      </c>
    </row>
    <row r="29" spans="2:16" x14ac:dyDescent="0.25">
      <c r="B29" s="202" t="s">
        <v>59</v>
      </c>
      <c r="C29" s="188" t="s">
        <v>103</v>
      </c>
      <c r="D29" s="205" t="s">
        <v>86</v>
      </c>
      <c r="E29" s="187" t="s">
        <v>138</v>
      </c>
      <c r="F29" s="187" t="s">
        <v>139</v>
      </c>
      <c r="G29" s="189">
        <v>1606</v>
      </c>
      <c r="H29" s="190">
        <v>30</v>
      </c>
      <c r="I29" s="191">
        <v>53.533333333333331</v>
      </c>
      <c r="J29" s="192">
        <v>54</v>
      </c>
      <c r="K29" s="193">
        <v>27</v>
      </c>
      <c r="L29" s="210">
        <f>COUNTIF('FY 2025 Schedule'!$B$3:$B$613,'Planning-Need vs Planned'!B29)</f>
        <v>27</v>
      </c>
      <c r="M29" s="193">
        <v>32</v>
      </c>
      <c r="N29" s="193">
        <v>960</v>
      </c>
      <c r="O29" s="189">
        <v>-24</v>
      </c>
      <c r="P29" s="194">
        <v>0.56039850560398508</v>
      </c>
    </row>
    <row r="30" spans="2:16" x14ac:dyDescent="0.25">
      <c r="B30" s="203" t="s">
        <v>60</v>
      </c>
      <c r="C30" s="188" t="s">
        <v>103</v>
      </c>
      <c r="D30" s="206" t="s">
        <v>86</v>
      </c>
      <c r="E30" s="187" t="s">
        <v>140</v>
      </c>
      <c r="F30" s="187" t="s">
        <v>141</v>
      </c>
      <c r="G30" s="189">
        <v>614</v>
      </c>
      <c r="H30" s="190">
        <v>30</v>
      </c>
      <c r="I30" s="191">
        <v>20.466666666666665</v>
      </c>
      <c r="J30" s="192">
        <v>21</v>
      </c>
      <c r="K30" s="193">
        <v>10</v>
      </c>
      <c r="L30" s="210">
        <f>COUNTIF('FY 2025 Schedule'!$B$3:$B$613,'Planning-Need vs Planned'!B30)</f>
        <v>10</v>
      </c>
      <c r="M30" s="193">
        <v>32</v>
      </c>
      <c r="N30" s="193">
        <v>320</v>
      </c>
      <c r="O30" s="189">
        <v>-11</v>
      </c>
      <c r="P30" s="194">
        <v>0.48859934853420195</v>
      </c>
    </row>
    <row r="31" spans="2:16" x14ac:dyDescent="0.25">
      <c r="B31" s="202" t="s">
        <v>61</v>
      </c>
      <c r="C31" s="188" t="s">
        <v>103</v>
      </c>
      <c r="D31" s="205" t="s">
        <v>86</v>
      </c>
      <c r="E31" s="187" t="s">
        <v>142</v>
      </c>
      <c r="F31" s="187">
        <v>1228</v>
      </c>
      <c r="G31" s="189">
        <v>1162</v>
      </c>
      <c r="H31" s="190">
        <v>45</v>
      </c>
      <c r="I31" s="191">
        <v>25.822222222222223</v>
      </c>
      <c r="J31" s="192">
        <v>26</v>
      </c>
      <c r="K31" s="193">
        <v>23</v>
      </c>
      <c r="L31" s="210">
        <f>COUNTIF('FY 2025 Schedule'!$B$3:$B$613,'Planning-Need vs Planned'!B31)</f>
        <v>23</v>
      </c>
      <c r="M31" s="193">
        <v>40</v>
      </c>
      <c r="N31" s="193">
        <v>920</v>
      </c>
      <c r="O31" s="189">
        <v>-3</v>
      </c>
      <c r="P31" s="194">
        <v>0.89070567986230642</v>
      </c>
    </row>
    <row r="32" spans="2:16" x14ac:dyDescent="0.25">
      <c r="B32" s="202" t="s">
        <v>52</v>
      </c>
      <c r="C32" s="188" t="s">
        <v>90</v>
      </c>
      <c r="D32" s="205" t="s">
        <v>86</v>
      </c>
      <c r="E32" s="187" t="s">
        <v>143</v>
      </c>
      <c r="F32" s="187">
        <v>3555</v>
      </c>
      <c r="G32" s="189">
        <v>685</v>
      </c>
      <c r="H32" s="190">
        <v>30</v>
      </c>
      <c r="I32" s="191">
        <v>22.833333333333332</v>
      </c>
      <c r="J32" s="192">
        <v>23</v>
      </c>
      <c r="K32" s="193">
        <v>16</v>
      </c>
      <c r="L32" s="210">
        <f>COUNTIF('FY 2025 Schedule'!$B$3:$B$613,'Planning-Need vs Planned'!B32)</f>
        <v>16</v>
      </c>
      <c r="M32" s="193">
        <v>32</v>
      </c>
      <c r="N32" s="193">
        <v>512</v>
      </c>
      <c r="O32" s="189">
        <v>-7</v>
      </c>
      <c r="P32" s="194">
        <v>0.7007299270072993</v>
      </c>
    </row>
    <row r="33" spans="2:16" x14ac:dyDescent="0.25">
      <c r="B33" s="203" t="s">
        <v>35</v>
      </c>
      <c r="C33" s="188" t="s">
        <v>85</v>
      </c>
      <c r="D33" s="206" t="s">
        <v>7</v>
      </c>
      <c r="E33" s="187" t="s">
        <v>144</v>
      </c>
      <c r="F33" s="187" t="s">
        <v>145</v>
      </c>
      <c r="G33" s="189">
        <v>987</v>
      </c>
      <c r="H33" s="190">
        <v>25</v>
      </c>
      <c r="I33" s="191">
        <v>39.479999999999997</v>
      </c>
      <c r="J33" s="191">
        <v>40</v>
      </c>
      <c r="K33" s="193">
        <v>22</v>
      </c>
      <c r="L33" s="210">
        <f>COUNTIF('FY 2025 Schedule'!$B$3:$B$613,'Planning-Need vs Planned'!B33)</f>
        <v>22</v>
      </c>
      <c r="M33" s="193">
        <v>8</v>
      </c>
      <c r="N33" s="193">
        <v>176</v>
      </c>
      <c r="O33" s="189">
        <v>-18</v>
      </c>
      <c r="P33" s="194">
        <v>0.55724417426545081</v>
      </c>
    </row>
    <row r="34" spans="2:16" x14ac:dyDescent="0.25">
      <c r="B34" s="202" t="s">
        <v>39</v>
      </c>
      <c r="C34" s="188" t="s">
        <v>100</v>
      </c>
      <c r="D34" s="205" t="s">
        <v>86</v>
      </c>
      <c r="E34" s="187" t="s">
        <v>146</v>
      </c>
      <c r="F34" s="187" t="s">
        <v>147</v>
      </c>
      <c r="G34" s="189">
        <v>808</v>
      </c>
      <c r="H34" s="190">
        <v>45</v>
      </c>
      <c r="I34" s="191">
        <v>17.955555555555556</v>
      </c>
      <c r="J34" s="192">
        <v>18</v>
      </c>
      <c r="K34" s="193">
        <v>18</v>
      </c>
      <c r="L34" s="210">
        <f>COUNTIF('FY 2025 Schedule'!$B$3:$B$613,'Planning-Need vs Planned'!B34)</f>
        <v>18</v>
      </c>
      <c r="M34" s="193">
        <v>16</v>
      </c>
      <c r="N34" s="193">
        <v>288</v>
      </c>
      <c r="O34" s="189">
        <v>0</v>
      </c>
      <c r="P34" s="194">
        <v>1.0024752475247525</v>
      </c>
    </row>
    <row r="35" spans="2:16" x14ac:dyDescent="0.25">
      <c r="B35" s="202" t="s">
        <v>53</v>
      </c>
      <c r="C35" s="188" t="s">
        <v>90</v>
      </c>
      <c r="D35" s="206" t="s">
        <v>7</v>
      </c>
      <c r="E35" s="187" t="s">
        <v>148</v>
      </c>
      <c r="F35" s="187" t="s">
        <v>149</v>
      </c>
      <c r="G35" s="189">
        <v>1437</v>
      </c>
      <c r="H35" s="190">
        <v>30</v>
      </c>
      <c r="I35" s="191">
        <v>47.9</v>
      </c>
      <c r="J35" s="192">
        <v>48</v>
      </c>
      <c r="K35" s="193">
        <v>22</v>
      </c>
      <c r="L35" s="210">
        <f>COUNTIF('FY 2025 Schedule'!$B$3:$B$613,'Planning-Need vs Planned'!B35)</f>
        <v>25</v>
      </c>
      <c r="M35" s="193">
        <v>40</v>
      </c>
      <c r="N35" s="193">
        <v>920</v>
      </c>
      <c r="O35" s="189">
        <v>-25</v>
      </c>
      <c r="P35" s="194">
        <v>0.4801670146137787</v>
      </c>
    </row>
    <row r="36" spans="2:16" x14ac:dyDescent="0.25">
      <c r="B36" s="202" t="s">
        <v>40</v>
      </c>
      <c r="C36" s="188" t="s">
        <v>100</v>
      </c>
      <c r="D36" s="205" t="s">
        <v>86</v>
      </c>
      <c r="E36" s="187" t="s">
        <v>150</v>
      </c>
      <c r="F36" s="187" t="s">
        <v>151</v>
      </c>
      <c r="G36" s="189">
        <v>1601</v>
      </c>
      <c r="H36" s="190">
        <v>100</v>
      </c>
      <c r="I36" s="191">
        <v>16.010000000000002</v>
      </c>
      <c r="J36" s="191">
        <v>17</v>
      </c>
      <c r="K36" s="193">
        <v>17</v>
      </c>
      <c r="L36" s="210">
        <f>COUNTIF('FY 2025 Schedule'!$B$3:$B$613,'Planning-Need vs Planned'!B36)</f>
        <v>17</v>
      </c>
      <c r="M36" s="193">
        <v>16</v>
      </c>
      <c r="N36" s="193">
        <v>272</v>
      </c>
      <c r="O36" s="189">
        <v>0</v>
      </c>
      <c r="P36" s="194">
        <v>1.0618363522798251</v>
      </c>
    </row>
    <row r="37" spans="2:16" x14ac:dyDescent="0.25">
      <c r="B37" s="202" t="s">
        <v>54</v>
      </c>
      <c r="C37" s="188" t="s">
        <v>100</v>
      </c>
      <c r="D37" s="205" t="s">
        <v>86</v>
      </c>
      <c r="E37" s="187" t="s">
        <v>152</v>
      </c>
      <c r="F37" s="187" t="s">
        <v>153</v>
      </c>
      <c r="G37" s="189">
        <v>92</v>
      </c>
      <c r="H37" s="190">
        <v>25</v>
      </c>
      <c r="I37" s="191">
        <v>3.68</v>
      </c>
      <c r="J37" s="192">
        <v>4</v>
      </c>
      <c r="K37" s="193">
        <v>4</v>
      </c>
      <c r="L37" s="210">
        <f>COUNTIF('FY 2025 Schedule'!$B$3:$B$613,'Planning-Need vs Planned'!B37)</f>
        <v>4</v>
      </c>
      <c r="M37" s="193">
        <v>16</v>
      </c>
      <c r="N37" s="193">
        <v>64</v>
      </c>
      <c r="O37" s="189">
        <v>0</v>
      </c>
      <c r="P37" s="194">
        <v>1.0869565217391304</v>
      </c>
    </row>
    <row r="38" spans="2:16" x14ac:dyDescent="0.25">
      <c r="B38" s="203" t="s">
        <v>36</v>
      </c>
      <c r="C38" s="188" t="s">
        <v>85</v>
      </c>
      <c r="D38" s="206" t="s">
        <v>7</v>
      </c>
      <c r="E38" s="187" t="s">
        <v>154</v>
      </c>
      <c r="F38" s="187" t="s">
        <v>155</v>
      </c>
      <c r="G38" s="189">
        <v>397</v>
      </c>
      <c r="H38" s="190">
        <v>25</v>
      </c>
      <c r="I38" s="191">
        <v>15.88</v>
      </c>
      <c r="J38" s="192">
        <v>16</v>
      </c>
      <c r="K38" s="196">
        <v>2</v>
      </c>
      <c r="L38" s="210">
        <f>COUNTIF('FY 2025 Schedule'!$B$3:$B$613,'Planning-Need vs Planned'!B38)</f>
        <v>6</v>
      </c>
      <c r="M38" s="196">
        <v>40</v>
      </c>
      <c r="N38" s="196">
        <v>80</v>
      </c>
      <c r="O38" s="197">
        <v>-14</v>
      </c>
      <c r="P38" s="198">
        <v>0.12594458438287154</v>
      </c>
    </row>
    <row r="39" spans="2:16" x14ac:dyDescent="0.25">
      <c r="B39" s="204" t="s">
        <v>62</v>
      </c>
      <c r="C39" s="199"/>
      <c r="D39" s="207"/>
      <c r="E39" s="199"/>
      <c r="F39" s="199"/>
      <c r="G39" s="200">
        <v>26864</v>
      </c>
      <c r="H39" s="201"/>
      <c r="I39" s="201"/>
      <c r="J39" s="201">
        <v>837</v>
      </c>
      <c r="K39" s="201">
        <f>SUM(K3:K38)</f>
        <v>497</v>
      </c>
      <c r="L39" s="214">
        <f>SUM(L3:L38)</f>
        <v>490</v>
      </c>
      <c r="M39" s="201"/>
      <c r="N39" s="201"/>
      <c r="O39" s="201">
        <v>-344</v>
      </c>
      <c r="P39" s="201"/>
    </row>
    <row r="40" spans="2:16" x14ac:dyDescent="0.25">
      <c r="K40" s="212"/>
    </row>
  </sheetData>
  <autoFilter ref="B2:L39" xr:uid="{D3997591-2F1C-4C8A-A240-F590D5790C51}"/>
  <conditionalFormatting sqref="L3:L38">
    <cfRule type="expression" dxfId="1271" priority="1">
      <formula>L3&gt;K3</formula>
    </cfRule>
    <cfRule type="expression" dxfId="1270" priority="2">
      <formula>L3&lt;K3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8340-F597-46CD-82B7-362B34F97887}">
  <dimension ref="A3:A73"/>
  <sheetViews>
    <sheetView workbookViewId="0">
      <selection activeCell="C14" sqref="C14"/>
    </sheetView>
  </sheetViews>
  <sheetFormatPr defaultRowHeight="15" x14ac:dyDescent="0.25"/>
  <cols>
    <col min="1" max="1" width="27" bestFit="1" customWidth="1"/>
  </cols>
  <sheetData>
    <row r="3" spans="1:1" x14ac:dyDescent="0.25">
      <c r="A3" s="6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86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  <row r="42" spans="1:1" x14ac:dyDescent="0.25">
      <c r="A42" t="s">
        <v>194</v>
      </c>
    </row>
    <row r="43" spans="1:1" x14ac:dyDescent="0.25">
      <c r="A43" t="s">
        <v>195</v>
      </c>
    </row>
    <row r="44" spans="1:1" x14ac:dyDescent="0.25">
      <c r="A44" t="s">
        <v>196</v>
      </c>
    </row>
    <row r="45" spans="1:1" x14ac:dyDescent="0.25">
      <c r="A45" t="s">
        <v>197</v>
      </c>
    </row>
    <row r="46" spans="1:1" x14ac:dyDescent="0.25">
      <c r="A46" t="s">
        <v>198</v>
      </c>
    </row>
    <row r="47" spans="1:1" x14ac:dyDescent="0.25">
      <c r="A47" t="s">
        <v>199</v>
      </c>
    </row>
    <row r="48" spans="1:1" x14ac:dyDescent="0.25">
      <c r="A48" t="s">
        <v>200</v>
      </c>
    </row>
    <row r="49" spans="1:1" x14ac:dyDescent="0.25">
      <c r="A49" t="s">
        <v>201</v>
      </c>
    </row>
    <row r="50" spans="1:1" x14ac:dyDescent="0.25">
      <c r="A50" t="s">
        <v>202</v>
      </c>
    </row>
    <row r="51" spans="1:1" x14ac:dyDescent="0.25">
      <c r="A51" t="s">
        <v>203</v>
      </c>
    </row>
    <row r="52" spans="1:1" x14ac:dyDescent="0.25">
      <c r="A52" t="s">
        <v>204</v>
      </c>
    </row>
    <row r="53" spans="1:1" x14ac:dyDescent="0.25">
      <c r="A53" t="s">
        <v>205</v>
      </c>
    </row>
    <row r="54" spans="1:1" x14ac:dyDescent="0.25">
      <c r="A54" t="s">
        <v>206</v>
      </c>
    </row>
    <row r="55" spans="1:1" x14ac:dyDescent="0.25">
      <c r="A55" t="s">
        <v>207</v>
      </c>
    </row>
    <row r="56" spans="1:1" x14ac:dyDescent="0.25">
      <c r="A56" t="s">
        <v>208</v>
      </c>
    </row>
    <row r="57" spans="1:1" x14ac:dyDescent="0.25">
      <c r="A57" t="s">
        <v>209</v>
      </c>
    </row>
    <row r="58" spans="1:1" x14ac:dyDescent="0.25">
      <c r="A58" t="s">
        <v>210</v>
      </c>
    </row>
    <row r="59" spans="1:1" x14ac:dyDescent="0.25">
      <c r="A59" t="s">
        <v>211</v>
      </c>
    </row>
    <row r="60" spans="1:1" x14ac:dyDescent="0.25">
      <c r="A60" t="s">
        <v>212</v>
      </c>
    </row>
    <row r="61" spans="1:1" x14ac:dyDescent="0.25">
      <c r="A61" t="s">
        <v>213</v>
      </c>
    </row>
    <row r="62" spans="1:1" x14ac:dyDescent="0.25">
      <c r="A62" t="s">
        <v>214</v>
      </c>
    </row>
    <row r="63" spans="1:1" x14ac:dyDescent="0.25">
      <c r="A63" t="s">
        <v>215</v>
      </c>
    </row>
    <row r="64" spans="1:1" x14ac:dyDescent="0.25">
      <c r="A64" t="s">
        <v>216</v>
      </c>
    </row>
    <row r="65" spans="1:1" x14ac:dyDescent="0.25">
      <c r="A65" t="s">
        <v>217</v>
      </c>
    </row>
    <row r="66" spans="1:1" x14ac:dyDescent="0.25">
      <c r="A66" t="s">
        <v>218</v>
      </c>
    </row>
    <row r="67" spans="1:1" x14ac:dyDescent="0.25">
      <c r="A67" t="s">
        <v>219</v>
      </c>
    </row>
    <row r="68" spans="1:1" x14ac:dyDescent="0.25">
      <c r="A68" t="s">
        <v>220</v>
      </c>
    </row>
    <row r="69" spans="1:1" x14ac:dyDescent="0.25">
      <c r="A69" t="s">
        <v>221</v>
      </c>
    </row>
    <row r="70" spans="1:1" x14ac:dyDescent="0.25">
      <c r="A70" t="s">
        <v>222</v>
      </c>
    </row>
    <row r="71" spans="1:1" x14ac:dyDescent="0.25">
      <c r="A71" t="s">
        <v>223</v>
      </c>
    </row>
    <row r="72" spans="1:1" x14ac:dyDescent="0.25">
      <c r="A72" t="s">
        <v>224</v>
      </c>
    </row>
    <row r="73" spans="1:1" x14ac:dyDescent="0.25">
      <c r="A73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3317-33E4-4429-8800-0B69D62EC4D0}">
  <sheetPr>
    <tabColor rgb="FFFF0000"/>
  </sheetPr>
  <dimension ref="A3:AK31"/>
  <sheetViews>
    <sheetView topLeftCell="A11" workbookViewId="0">
      <selection activeCell="H23" sqref="H23"/>
    </sheetView>
  </sheetViews>
  <sheetFormatPr defaultColWidth="14.28515625" defaultRowHeight="15" x14ac:dyDescent="0.25"/>
  <cols>
    <col min="2" max="2" width="61" customWidth="1"/>
    <col min="4" max="4" width="10.5703125" customWidth="1"/>
    <col min="5" max="5" width="15.5703125" customWidth="1"/>
  </cols>
  <sheetData>
    <row r="3" spans="1:37" s="328" customFormat="1" x14ac:dyDescent="0.25">
      <c r="A3" s="328" t="s">
        <v>226</v>
      </c>
      <c r="B3" s="328" t="s">
        <v>227</v>
      </c>
      <c r="C3" s="328" t="s">
        <v>73</v>
      </c>
      <c r="D3" s="328" t="s">
        <v>228</v>
      </c>
      <c r="E3" s="328" t="s">
        <v>156</v>
      </c>
      <c r="F3" s="328" t="s">
        <v>229</v>
      </c>
      <c r="G3" s="328" t="s">
        <v>230</v>
      </c>
      <c r="H3" s="328" t="s">
        <v>231</v>
      </c>
      <c r="I3" s="328" t="s">
        <v>232</v>
      </c>
      <c r="J3" s="328" t="s">
        <v>233</v>
      </c>
      <c r="K3" s="328" t="s">
        <v>234</v>
      </c>
      <c r="L3" s="328" t="s">
        <v>235</v>
      </c>
      <c r="M3" s="328" t="s">
        <v>236</v>
      </c>
      <c r="N3" s="328" t="s">
        <v>237</v>
      </c>
      <c r="O3" s="328" t="s">
        <v>238</v>
      </c>
      <c r="P3" s="328" t="s">
        <v>239</v>
      </c>
      <c r="Q3" s="328" t="s">
        <v>240</v>
      </c>
      <c r="R3" s="328" t="s">
        <v>241</v>
      </c>
      <c r="S3" s="328" t="s">
        <v>242</v>
      </c>
      <c r="T3" s="328" t="s">
        <v>243</v>
      </c>
      <c r="U3" s="328" t="s">
        <v>244</v>
      </c>
      <c r="V3" s="328" t="s">
        <v>245</v>
      </c>
      <c r="W3" s="328" t="s">
        <v>246</v>
      </c>
      <c r="X3" s="328" t="s">
        <v>247</v>
      </c>
      <c r="Y3" s="328" t="s">
        <v>13</v>
      </c>
      <c r="Z3" s="328" t="s">
        <v>14</v>
      </c>
      <c r="AA3" s="328" t="s">
        <v>248</v>
      </c>
      <c r="AB3" s="328" t="s">
        <v>249</v>
      </c>
      <c r="AC3" s="328" t="s">
        <v>250</v>
      </c>
      <c r="AD3" s="328" t="s">
        <v>251</v>
      </c>
      <c r="AE3" s="328" t="s">
        <v>252</v>
      </c>
    </row>
    <row r="4" spans="1:37" x14ac:dyDescent="0.25">
      <c r="A4" s="340">
        <v>45586</v>
      </c>
      <c r="B4" s="329" t="s">
        <v>32</v>
      </c>
      <c r="C4" s="346" t="s">
        <v>127</v>
      </c>
      <c r="D4" s="346" t="s">
        <v>128</v>
      </c>
      <c r="E4" s="329" t="s">
        <v>203</v>
      </c>
      <c r="F4" s="474">
        <v>45628</v>
      </c>
      <c r="G4" s="474">
        <v>45629</v>
      </c>
      <c r="H4" s="362" t="s">
        <v>253</v>
      </c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</row>
    <row r="5" spans="1:37" x14ac:dyDescent="0.25">
      <c r="A5" s="340">
        <v>45586</v>
      </c>
      <c r="B5" s="329" t="s">
        <v>34</v>
      </c>
      <c r="C5" s="346" t="s">
        <v>131</v>
      </c>
      <c r="D5" s="346" t="s">
        <v>132</v>
      </c>
      <c r="E5" s="329" t="s">
        <v>203</v>
      </c>
      <c r="F5" s="474">
        <v>45630</v>
      </c>
      <c r="G5" s="474">
        <v>45630</v>
      </c>
      <c r="H5" s="362" t="s">
        <v>253</v>
      </c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</row>
    <row r="6" spans="1:37" x14ac:dyDescent="0.25">
      <c r="A6" s="340">
        <v>45670</v>
      </c>
      <c r="B6" s="329" t="s">
        <v>254</v>
      </c>
      <c r="C6" s="346" t="s">
        <v>136</v>
      </c>
      <c r="D6" s="346" t="s">
        <v>137</v>
      </c>
      <c r="E6" s="329" t="s">
        <v>6</v>
      </c>
      <c r="F6" s="474">
        <v>45740</v>
      </c>
      <c r="G6" s="474">
        <v>45743</v>
      </c>
      <c r="H6" s="341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</row>
    <row r="7" spans="1:37" x14ac:dyDescent="0.25">
      <c r="A7" s="340">
        <v>45671</v>
      </c>
      <c r="B7" s="119" t="s">
        <v>35</v>
      </c>
      <c r="C7" s="339" t="str">
        <f>VLOOKUP(Table2[[#This Row],[Course Title]],'TSD-Data'!$A$1:$E$56,2,FALSE)</f>
        <v>A-493-0078</v>
      </c>
      <c r="D7" s="346" t="s">
        <v>145</v>
      </c>
      <c r="E7" s="119" t="s">
        <v>255</v>
      </c>
      <c r="F7" s="474">
        <v>45699</v>
      </c>
      <c r="G7" s="474">
        <v>45699</v>
      </c>
      <c r="H7" s="341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</row>
    <row r="8" spans="1:37" x14ac:dyDescent="0.25">
      <c r="A8" s="340">
        <v>45671</v>
      </c>
      <c r="B8" s="119" t="s">
        <v>34</v>
      </c>
      <c r="C8" s="339" t="str">
        <f>VLOOKUP(Table2[[#This Row],[Course Title]],'TSD-Data'!$A$1:$E$56,2,FALSE)</f>
        <v>A-493-0550</v>
      </c>
      <c r="D8" s="346" t="s">
        <v>132</v>
      </c>
      <c r="E8" s="119" t="s">
        <v>255</v>
      </c>
      <c r="F8" s="474">
        <v>45698</v>
      </c>
      <c r="G8" s="474">
        <v>45698</v>
      </c>
      <c r="H8" s="341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</row>
    <row r="9" spans="1:37" x14ac:dyDescent="0.25">
      <c r="A9" s="340">
        <v>45726</v>
      </c>
      <c r="B9" s="347" t="s">
        <v>29</v>
      </c>
      <c r="C9" s="339" t="str">
        <f>VLOOKUP(Table2[[#This Row],[Course Title]],'TSD-Data'!$A$1:$E$56,2,FALSE)</f>
        <v>A-493-0073</v>
      </c>
      <c r="D9" s="348" t="s">
        <v>124</v>
      </c>
      <c r="E9" s="65" t="s">
        <v>176</v>
      </c>
      <c r="F9" s="107">
        <v>45740</v>
      </c>
      <c r="G9" s="107">
        <v>45742</v>
      </c>
      <c r="H9" s="341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</row>
    <row r="10" spans="1:37" x14ac:dyDescent="0.25">
      <c r="A10" s="340">
        <v>45726</v>
      </c>
      <c r="B10" s="329" t="s">
        <v>256</v>
      </c>
      <c r="C10" s="346" t="s">
        <v>116</v>
      </c>
      <c r="D10" s="346" t="s">
        <v>117</v>
      </c>
      <c r="E10" s="329" t="s">
        <v>220</v>
      </c>
      <c r="F10" s="474">
        <v>45796</v>
      </c>
      <c r="G10" s="474">
        <v>45799</v>
      </c>
      <c r="H10" s="341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</row>
    <row r="11" spans="1:37" x14ac:dyDescent="0.25">
      <c r="A11" s="340">
        <v>45733</v>
      </c>
      <c r="B11" s="113" t="s">
        <v>34</v>
      </c>
      <c r="C11" s="356" t="str">
        <f>VLOOKUP(Table2[[#This Row],[Course Title]],'TSD-Data'!$A$1:$E$56,2,FALSE)</f>
        <v>A-493-2099</v>
      </c>
      <c r="D11" s="339" t="str">
        <f>VLOOKUP(Table2[[#This Row],[Course Title]],'TSD-Data'!$A$1:$E$56,3,FALSE)</f>
        <v>438G</v>
      </c>
      <c r="E11" s="113" t="s">
        <v>162</v>
      </c>
      <c r="F11" s="131">
        <v>45764</v>
      </c>
      <c r="G11" s="131">
        <v>45764</v>
      </c>
      <c r="H11" s="341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</row>
    <row r="12" spans="1:37" x14ac:dyDescent="0.25">
      <c r="A12" s="357">
        <v>45735</v>
      </c>
      <c r="B12" s="358" t="s">
        <v>17</v>
      </c>
      <c r="C12" s="125" t="str">
        <f>VLOOKUP(Table2[[#This Row],[Course Title]],'TSD-Data'!$A$1:$E$56,2,FALSE)</f>
        <v>A-493-2099</v>
      </c>
      <c r="D12" s="359" t="str">
        <f>VLOOKUP(Table2[[#This Row],[Course Title]],'TSD-Data'!$A$1:$E$56,3,FALSE)</f>
        <v>438G</v>
      </c>
      <c r="E12" s="119" t="s">
        <v>182</v>
      </c>
      <c r="F12" s="131">
        <v>45817</v>
      </c>
      <c r="G12" s="131">
        <v>45821</v>
      </c>
      <c r="H12" s="360">
        <v>0.33333333333333331</v>
      </c>
      <c r="I12" s="360"/>
      <c r="J12" s="360"/>
      <c r="K12" s="360"/>
      <c r="L12" s="360"/>
      <c r="M12" s="360"/>
      <c r="N12" s="360"/>
      <c r="O12" s="361" t="s">
        <v>257</v>
      </c>
      <c r="P12" s="352"/>
      <c r="Q12" s="353"/>
      <c r="R12" s="354">
        <f>VLOOKUP(Table2[[#This Row],[Course Title]],'TSD-Data'!$A$1:$E$56,4,FALSE)</f>
        <v>30</v>
      </c>
      <c r="S12" s="354">
        <f>VLOOKUP(Table2[[#This Row],[Course Title]],'TSD-Data'!$A$1:$F$53,6,FALSE)</f>
        <v>16</v>
      </c>
      <c r="T12" s="354">
        <f>VLOOKUP(Table2[[#This Row],[Course Title]],'TSD-Data'!$A$1:$E$56,5,FALSE)</f>
        <v>2</v>
      </c>
      <c r="U12" s="354">
        <v>0</v>
      </c>
      <c r="V12" s="354">
        <f>Table2[[#This Row],[Quotas]]-Table2[[#This Row],[Open Quotas]]</f>
        <v>25</v>
      </c>
      <c r="W12" s="354">
        <v>0</v>
      </c>
      <c r="X12" s="354"/>
      <c r="Y12" s="355"/>
      <c r="Z12" s="354"/>
      <c r="AA12" s="354"/>
      <c r="AB12" s="354"/>
      <c r="AC12" s="354"/>
      <c r="AD12" s="355">
        <f ca="1">Table2[[#This Row],[End Date]]+2-TODAY()</f>
        <v>-200</v>
      </c>
      <c r="AE12" s="354">
        <f>IF(ISBLANK(Table2[[#This Row],[Received by]]),1,0)</f>
        <v>0</v>
      </c>
      <c r="AF12" s="354">
        <f ca="1">IF(Table2[[#This Row],[Start Date]]&gt;TODAY(),1,)</f>
        <v>0</v>
      </c>
      <c r="AG12" s="354">
        <f>IF(ISBLANK(Table2[[#This Row],[Primary Instructor]]),0,1)</f>
        <v>1</v>
      </c>
      <c r="AH12" s="354">
        <f>IF(ISBLANK(Table2[[#This Row],[Instructor 2]]),0,1)</f>
        <v>1</v>
      </c>
      <c r="AI12" s="354">
        <f>Table2[[#This Row],[Course Length (Hours)]]/(SUM(Table2[[#This Row],[1]:[2]]))</f>
        <v>8</v>
      </c>
      <c r="AJ12" s="354">
        <v>40</v>
      </c>
      <c r="AK12" s="354">
        <v>3</v>
      </c>
    </row>
    <row r="13" spans="1:37" x14ac:dyDescent="0.25">
      <c r="A13" s="340">
        <v>45742</v>
      </c>
      <c r="B13" s="113" t="s">
        <v>36</v>
      </c>
      <c r="C13" s="125" t="str">
        <f>VLOOKUP(Table2[[#This Row],[Course Title]],'TSD-Data'!$A$1:$E$56,2,FALSE)</f>
        <v>Function</v>
      </c>
      <c r="D13" s="125" t="s">
        <v>155</v>
      </c>
      <c r="E13" s="113" t="s">
        <v>258</v>
      </c>
      <c r="F13" s="107">
        <v>45754</v>
      </c>
      <c r="G13" s="107">
        <v>45758</v>
      </c>
      <c r="H13" s="342">
        <v>0.33333333333333331</v>
      </c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</row>
    <row r="14" spans="1:37" x14ac:dyDescent="0.25">
      <c r="A14" s="340">
        <v>45747</v>
      </c>
      <c r="B14" s="329" t="s">
        <v>259</v>
      </c>
      <c r="C14" s="346" t="s">
        <v>108</v>
      </c>
      <c r="D14" s="346" t="s">
        <v>109</v>
      </c>
      <c r="E14" s="329" t="s">
        <v>197</v>
      </c>
      <c r="F14" s="474">
        <v>45831</v>
      </c>
      <c r="G14" s="474">
        <v>45835</v>
      </c>
      <c r="H14" s="341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</row>
    <row r="15" spans="1:37" x14ac:dyDescent="0.25">
      <c r="A15" s="340">
        <v>45749</v>
      </c>
      <c r="B15" s="113" t="s">
        <v>28</v>
      </c>
      <c r="C15" s="339" t="s">
        <v>113</v>
      </c>
      <c r="D15" s="339">
        <v>3683</v>
      </c>
      <c r="E15" s="119" t="s">
        <v>196</v>
      </c>
      <c r="F15" s="131">
        <v>45783</v>
      </c>
      <c r="G15" s="131">
        <v>45785</v>
      </c>
      <c r="H15" s="362" t="s">
        <v>253</v>
      </c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</row>
    <row r="16" spans="1:37" x14ac:dyDescent="0.25">
      <c r="A16" s="340">
        <v>45750</v>
      </c>
      <c r="B16" s="426" t="s">
        <v>32</v>
      </c>
      <c r="C16" s="479" t="s">
        <v>127</v>
      </c>
      <c r="D16" s="479" t="s">
        <v>128</v>
      </c>
      <c r="E16" s="426" t="s">
        <v>202</v>
      </c>
      <c r="F16" s="428">
        <v>45782</v>
      </c>
      <c r="G16" s="428">
        <v>45783</v>
      </c>
      <c r="H16" s="341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</row>
    <row r="17" spans="1:31" x14ac:dyDescent="0.25">
      <c r="A17" s="340">
        <v>45750</v>
      </c>
      <c r="B17" s="426" t="s">
        <v>33</v>
      </c>
      <c r="C17" s="479" t="s">
        <v>129</v>
      </c>
      <c r="D17" s="479" t="s">
        <v>130</v>
      </c>
      <c r="E17" s="455" t="s">
        <v>202</v>
      </c>
      <c r="F17" s="475">
        <v>45784</v>
      </c>
      <c r="G17" s="475">
        <v>45784</v>
      </c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</row>
    <row r="18" spans="1:31" x14ac:dyDescent="0.25">
      <c r="A18" s="340">
        <v>45750</v>
      </c>
      <c r="B18" s="426" t="s">
        <v>34</v>
      </c>
      <c r="C18" s="479" t="s">
        <v>131</v>
      </c>
      <c r="D18" s="479" t="s">
        <v>132</v>
      </c>
      <c r="E18" s="455" t="s">
        <v>202</v>
      </c>
      <c r="F18" s="475">
        <v>45785</v>
      </c>
      <c r="G18" s="475">
        <v>45785</v>
      </c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</row>
    <row r="19" spans="1:31" x14ac:dyDescent="0.25">
      <c r="A19" s="340">
        <v>45750</v>
      </c>
      <c r="B19" s="113" t="s">
        <v>35</v>
      </c>
      <c r="C19" s="339" t="s">
        <v>144</v>
      </c>
      <c r="D19" s="339" t="s">
        <v>145</v>
      </c>
      <c r="E19" s="113" t="s">
        <v>202</v>
      </c>
      <c r="F19" s="131">
        <v>45786</v>
      </c>
      <c r="G19" s="131">
        <v>45786</v>
      </c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1" x14ac:dyDescent="0.25">
      <c r="A20" s="340">
        <v>45757</v>
      </c>
      <c r="B20" s="329" t="s">
        <v>49</v>
      </c>
      <c r="C20" s="329" t="s">
        <v>133</v>
      </c>
      <c r="D20" s="346">
        <v>5891</v>
      </c>
      <c r="E20" s="329" t="s">
        <v>177</v>
      </c>
      <c r="F20" s="474">
        <v>45804</v>
      </c>
      <c r="G20" s="474">
        <v>45806</v>
      </c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</row>
    <row r="21" spans="1:31" x14ac:dyDescent="0.25">
      <c r="A21" s="340">
        <v>45761</v>
      </c>
      <c r="B21" s="329" t="s">
        <v>256</v>
      </c>
      <c r="C21" s="329" t="s">
        <v>260</v>
      </c>
      <c r="D21" s="329" t="s">
        <v>117</v>
      </c>
      <c r="E21" s="329"/>
      <c r="F21" s="474">
        <v>45769</v>
      </c>
      <c r="G21" s="340">
        <v>45772</v>
      </c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</row>
    <row r="22" spans="1:31" x14ac:dyDescent="0.25">
      <c r="A22" s="340">
        <v>45770</v>
      </c>
      <c r="B22" s="496" t="s">
        <v>33</v>
      </c>
      <c r="C22" s="499" t="str">
        <f>VLOOKUP(Table2[[#This Row],[Course Title]],'TSD-Data'!$A$1:$E$56,2,FALSE)</f>
        <v>A-493-0072</v>
      </c>
      <c r="D22" s="499" t="str">
        <f>VLOOKUP(Table2[[#This Row],[Course Title]],'TSD-Data'!$A$1:$E$56,3,FALSE)</f>
        <v>713U</v>
      </c>
      <c r="E22" s="496" t="s">
        <v>182</v>
      </c>
      <c r="F22" s="497">
        <v>45811</v>
      </c>
      <c r="G22" s="497">
        <v>45811</v>
      </c>
      <c r="H22" s="498">
        <v>0.33333333333333331</v>
      </c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1" x14ac:dyDescent="0.25">
      <c r="A23" s="340">
        <v>45772</v>
      </c>
      <c r="B23" s="329" t="s">
        <v>261</v>
      </c>
      <c r="C23" s="329" t="s">
        <v>108</v>
      </c>
      <c r="D23" s="329" t="s">
        <v>109</v>
      </c>
      <c r="E23" s="329" t="s">
        <v>197</v>
      </c>
      <c r="F23" s="500">
        <v>45866</v>
      </c>
      <c r="G23" s="500">
        <v>45870</v>
      </c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1" x14ac:dyDescent="0.25">
      <c r="A24" s="329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1" x14ac:dyDescent="0.25">
      <c r="A25" s="329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</row>
    <row r="26" spans="1:31" x14ac:dyDescent="0.25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</row>
    <row r="27" spans="1:31" x14ac:dyDescent="0.25">
      <c r="A27" s="329"/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</row>
    <row r="28" spans="1:31" x14ac:dyDescent="0.25">
      <c r="A28" s="329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</row>
    <row r="29" spans="1:31" x14ac:dyDescent="0.25">
      <c r="A29" s="329"/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</row>
    <row r="30" spans="1:31" x14ac:dyDescent="0.25">
      <c r="A30" s="329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</row>
    <row r="31" spans="1:31" x14ac:dyDescent="0.25">
      <c r="A31" s="329"/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</row>
  </sheetData>
  <protectedRanges>
    <protectedRange algorithmName="SHA-512" hashValue="n6K25g9uzAcpntxjqTQaPVdKX1eij75CLB1gBuUNBybVL5B3VaxVW/Tcen54TXijIel0fCN9KO3xZiLZCJMSZw==" saltValue="89UdTK4UUElaUoKBccfOYw==" spinCount="100000" sqref="C7" name="CIN CDP_1"/>
    <protectedRange algorithmName="SHA-512" hashValue="n6K25g9uzAcpntxjqTQaPVdKX1eij75CLB1gBuUNBybVL5B3VaxVW/Tcen54TXijIel0fCN9KO3xZiLZCJMSZw==" saltValue="89UdTK4UUElaUoKBccfOYw==" spinCount="100000" sqref="C9:D9" name="CIN CDP_1_1_1"/>
    <protectedRange algorithmName="SHA-512" hashValue="n6K25g9uzAcpntxjqTQaPVdKX1eij75CLB1gBuUNBybVL5B3VaxVW/Tcen54TXijIel0fCN9KO3xZiLZCJMSZw==" saltValue="89UdTK4UUElaUoKBccfOYw==" spinCount="100000" sqref="C11:D11" name="CIN CDP_1_1_2"/>
    <protectedRange algorithmName="SHA-512" hashValue="n6K25g9uzAcpntxjqTQaPVdKX1eij75CLB1gBuUNBybVL5B3VaxVW/Tcen54TXijIel0fCN9KO3xZiLZCJMSZw==" saltValue="89UdTK4UUElaUoKBccfOYw==" spinCount="100000" sqref="C12:D12" name="CIN CDP_1_1_4"/>
    <protectedRange algorithmName="SHA-512" hashValue="n6K25g9uzAcpntxjqTQaPVdKX1eij75CLB1gBuUNBybVL5B3VaxVW/Tcen54TXijIel0fCN9KO3xZiLZCJMSZw==" saltValue="89UdTK4UUElaUoKBccfOYw==" spinCount="100000" sqref="D15" name="CIN CDP_1_1_3"/>
    <protectedRange algorithmName="SHA-512" hashValue="n6K25g9uzAcpntxjqTQaPVdKX1eij75CLB1gBuUNBybVL5B3VaxVW/Tcen54TXijIel0fCN9KO3xZiLZCJMSZw==" saltValue="89UdTK4UUElaUoKBccfOYw==" spinCount="100000" sqref="C15" name="CIN CDP_1_1_7"/>
    <protectedRange algorithmName="SHA-512" hashValue="n6K25g9uzAcpntxjqTQaPVdKX1eij75CLB1gBuUNBybVL5B3VaxVW/Tcen54TXijIel0fCN9KO3xZiLZCJMSZw==" saltValue="89UdTK4UUElaUoKBccfOYw==" spinCount="100000" sqref="C16:D16" name="CIN CDP_1_1"/>
    <protectedRange algorithmName="SHA-512" hashValue="n6K25g9uzAcpntxjqTQaPVdKX1eij75CLB1gBuUNBybVL5B3VaxVW/Tcen54TXijIel0fCN9KO3xZiLZCJMSZw==" saltValue="89UdTK4UUElaUoKBccfOYw==" spinCount="100000" sqref="C17:D17" name="CIN CDP_1_1_5"/>
    <protectedRange algorithmName="SHA-512" hashValue="n6K25g9uzAcpntxjqTQaPVdKX1eij75CLB1gBuUNBybVL5B3VaxVW/Tcen54TXijIel0fCN9KO3xZiLZCJMSZw==" saltValue="89UdTK4UUElaUoKBccfOYw==" spinCount="100000" sqref="C18:D19" name="CIN CDP_1_1_6"/>
    <protectedRange algorithmName="SHA-512" hashValue="n6K25g9uzAcpntxjqTQaPVdKX1eij75CLB1gBuUNBybVL5B3VaxVW/Tcen54TXijIel0fCN9KO3xZiLZCJMSZw==" saltValue="89UdTK4UUElaUoKBccfOYw==" spinCount="100000" sqref="C22:D22" name="CIN CDP_1_1_8"/>
  </protectedRanges>
  <conditionalFormatting sqref="E7:E8">
    <cfRule type="expression" dxfId="1269" priority="46">
      <formula>$W7="Benzick, Sue"</formula>
    </cfRule>
    <cfRule type="expression" dxfId="1268" priority="47">
      <formula>$W7="Jenne, Richard"</formula>
    </cfRule>
    <cfRule type="expression" dxfId="1267" priority="48">
      <formula>$W7="McQueen, Jennifer"</formula>
    </cfRule>
  </conditionalFormatting>
  <conditionalFormatting sqref="E15">
    <cfRule type="expression" dxfId="1266" priority="13">
      <formula>$Y15="Benzick, Sue"</formula>
    </cfRule>
    <cfRule type="expression" dxfId="1265" priority="14">
      <formula>$Y15="Jenne, Richard"</formula>
    </cfRule>
    <cfRule type="expression" dxfId="1264" priority="15">
      <formula>$Y15="McQueen, Jennifer"</formula>
    </cfRule>
  </conditionalFormatting>
  <conditionalFormatting sqref="E17:E18">
    <cfRule type="expression" dxfId="1263" priority="7">
      <formula>$Y17="Benzick, Sue"</formula>
    </cfRule>
    <cfRule type="expression" dxfId="1262" priority="8">
      <formula>$Y17="Jenne, Richard"</formula>
    </cfRule>
    <cfRule type="expression" dxfId="1261" priority="9">
      <formula>$Y17="McQueen, Jennifer"</formula>
    </cfRule>
  </conditionalFormatting>
  <conditionalFormatting sqref="F15:G15">
    <cfRule type="expression" dxfId="1260" priority="16">
      <formula>$P15="Benzick, Sue"</formula>
    </cfRule>
    <cfRule type="expression" dxfId="1259" priority="17">
      <formula>$P15="Jenne, Richard"</formula>
    </cfRule>
    <cfRule type="expression" dxfId="1258" priority="18">
      <formula>$P15="McQueen, Jennifer"</formula>
    </cfRule>
  </conditionalFormatting>
  <conditionalFormatting sqref="F17:G18">
    <cfRule type="expression" dxfId="1257" priority="10">
      <formula>$P17="Benzick, Sue"</formula>
    </cfRule>
    <cfRule type="expression" dxfId="1256" priority="11">
      <formula>$P17="Jenne, Richard"</formula>
    </cfRule>
    <cfRule type="expression" dxfId="1255" priority="12">
      <formula>$P17="McQueen, Jennifer"</formula>
    </cfRule>
  </conditionalFormatting>
  <conditionalFormatting sqref="H22">
    <cfRule type="expression" dxfId="1251" priority="1">
      <formula>$T22="Benzick, Sue"</formula>
    </cfRule>
    <cfRule type="expression" dxfId="1250" priority="2">
      <formula>$T22="Jenne, Richard"</formula>
    </cfRule>
    <cfRule type="expression" dxfId="1249" priority="3">
      <formula>$T22="McQueen, Jennifer"</formula>
    </cfRule>
  </conditionalFormatting>
  <conditionalFormatting sqref="Y12">
    <cfRule type="expression" dxfId="1245" priority="40">
      <formula>$X12="Benzick, Sue"</formula>
    </cfRule>
    <cfRule type="expression" dxfId="1244" priority="41">
      <formula>$X12="Jenne, Richard"</formula>
    </cfRule>
    <cfRule type="expression" dxfId="1243" priority="42">
      <formula>$X12="McQueen, Jennifer"</formula>
    </cfRule>
  </conditionalFormatting>
  <conditionalFormatting sqref="AD12">
    <cfRule type="expression" dxfId="1242" priority="43">
      <formula>$AC12="Benzick, Sue"</formula>
    </cfRule>
    <cfRule type="expression" dxfId="1241" priority="44">
      <formula>$AC12="Jenne, Richard"</formula>
    </cfRule>
    <cfRule type="expression" dxfId="1240" priority="45">
      <formula>$AC12="McQueen, Jennifer"</formula>
    </cfRule>
  </conditionalFormatting>
  <dataValidations count="2">
    <dataValidation type="list" allowBlank="1" showInputMessage="1" showErrorMessage="1" sqref="B7:B9 B11:B13 B15:B19 B22" xr:uid="{82B312E6-9CF1-4F10-93EA-DF045E71056F}">
      <formula1>Class</formula1>
    </dataValidation>
    <dataValidation allowBlank="1" showInputMessage="1" showErrorMessage="1" sqref="X12" xr:uid="{064D07B7-016C-4C5E-82FC-747396F4B880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D4E5210-A140-4935-8C0A-E129FD7B05AD}">
            <xm:f>'FY 2025 Schedule'!#REF!="Benzick, Sue"</xm:f>
            <x14:dxf>
              <font>
                <b/>
                <i val="0"/>
              </font>
            </x14:dxf>
          </x14:cfRule>
          <x14:cfRule type="expression" priority="5" id="{19329D08-889C-4A86-99F2-9ADB789FD9C8}">
            <xm:f>'FY 2025 Schedule'!#REF!="Jenne, Richard"</xm:f>
            <x14:dxf>
              <font>
                <b/>
                <i val="0"/>
              </font>
            </x14:dxf>
          </x14:cfRule>
          <x14:cfRule type="expression" priority="6" id="{0A19DD14-989E-4950-814C-DC8F8DFA2016}">
            <xm:f>'FY 2025 Schedule'!#REF!="McQueen, Jennifer"</xm:f>
            <x14:dxf>
              <font>
                <b/>
                <i val="0"/>
              </font>
            </x14:dxf>
          </x14:cfRule>
          <xm:sqref>F19:G19</xm:sqref>
        </x14:conditionalFormatting>
        <x14:conditionalFormatting xmlns:xm="http://schemas.microsoft.com/office/excel/2006/main">
          <x14:cfRule type="expression" priority="34" id="{B28D7BEC-6203-45BB-B6B5-6851238527C7}">
            <xm:f>'FY 2025 Schedule'!#REF!="Benzick, Sue"</xm:f>
            <x14:dxf>
              <font>
                <b/>
                <i val="0"/>
              </font>
            </x14:dxf>
          </x14:cfRule>
          <x14:cfRule type="expression" priority="35" id="{261D5CC1-749B-468F-9751-766490CAD326}">
            <xm:f>'FY 2025 Schedule'!#REF!="Jenne, Richard"</xm:f>
            <x14:dxf>
              <font>
                <b/>
                <i val="0"/>
              </font>
            </x14:dxf>
          </x14:cfRule>
          <x14:cfRule type="expression" priority="36" id="{FC9BAA25-CD37-487B-B303-D6BE6C9ED543}">
            <xm:f>'FY 2025 Schedule'!#REF!="McQueen, Jennifer"</xm:f>
            <x14:dxf>
              <font>
                <b/>
                <i val="0"/>
              </font>
            </x14:dxf>
          </x14:cfRule>
          <xm:sqref>I12:M12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3FFA2E4-E442-49C4-92EE-7954F0B109FF}">
          <x14:formula1>
            <xm:f>'TSD-Data'!$K$2:$K$130</xm:f>
          </x14:formula1>
          <xm:sqref>E7:E8</xm:sqref>
        </x14:dataValidation>
        <x14:dataValidation type="list" allowBlank="1" showInputMessage="1" showErrorMessage="1" xr:uid="{141FE250-D6B3-47AF-91D9-039137A61ECE}">
          <x14:formula1>
            <xm:f>'TSD-Data'!$K$2:$K$102</xm:f>
          </x14:formula1>
          <xm:sqref>E9 E11:E13 E15:E19 E22</xm:sqref>
        </x14:dataValidation>
        <x14:dataValidation type="list" allowBlank="1" showInputMessage="1" showErrorMessage="1" xr:uid="{F742DBB7-BD0A-4955-A6B9-B06A2069D6BA}">
          <x14:formula1>
            <xm:f>'TSD-Data'!$P$2:$P$8</xm:f>
          </x14:formula1>
          <xm:sqref>Q12</xm:sqref>
        </x14:dataValidation>
        <x14:dataValidation type="list" allowBlank="1" showInputMessage="1" showErrorMessage="1" xr:uid="{78BFABC9-1A7A-4BA5-9FE4-54511B63D7A7}">
          <x14:formula1>
            <xm:f>'TSD-Data'!$M$2:$M$10</xm:f>
          </x14:formula1>
          <xm:sqref>AC12</xm:sqref>
        </x14:dataValidation>
        <x14:dataValidation type="list" allowBlank="1" showInputMessage="1" showErrorMessage="1" xr:uid="{E92EE5B6-F66C-4A59-B983-143D6BA09F3D}">
          <x14:formula1>
            <xm:f>'TSD-Data'!$G$2:$G$40</xm:f>
          </x14:formula1>
          <xm:sqref>O12:P12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0000"/>
  </sheetPr>
  <dimension ref="A1:P100"/>
  <sheetViews>
    <sheetView zoomScale="70" zoomScaleNormal="70" workbookViewId="0">
      <selection activeCell="I18" sqref="I18"/>
    </sheetView>
  </sheetViews>
  <sheetFormatPr defaultColWidth="8.7109375" defaultRowHeight="15" x14ac:dyDescent="0.25"/>
  <cols>
    <col min="1" max="1" width="70.28515625" bestFit="1" customWidth="1"/>
    <col min="2" max="2" width="11.28515625" bestFit="1" customWidth="1"/>
    <col min="3" max="3" width="8.7109375" style="1"/>
    <col min="7" max="7" width="14.42578125" bestFit="1" customWidth="1"/>
    <col min="8" max="9" width="12" bestFit="1" customWidth="1"/>
    <col min="10" max="10" width="13.28515625" bestFit="1" customWidth="1"/>
    <col min="11" max="11" width="24.7109375" bestFit="1" customWidth="1"/>
    <col min="12" max="12" width="24" bestFit="1" customWidth="1"/>
    <col min="13" max="13" width="18.28515625" bestFit="1" customWidth="1"/>
  </cols>
  <sheetData>
    <row r="1" spans="1:16" x14ac:dyDescent="0.25">
      <c r="A1" s="7" t="s">
        <v>227</v>
      </c>
      <c r="B1" s="7" t="s">
        <v>73</v>
      </c>
      <c r="C1" s="8" t="s">
        <v>74</v>
      </c>
      <c r="D1" t="s">
        <v>240</v>
      </c>
      <c r="E1" t="s">
        <v>262</v>
      </c>
      <c r="F1" t="s">
        <v>263</v>
      </c>
      <c r="G1" s="7" t="s">
        <v>264</v>
      </c>
      <c r="H1" s="7" t="s">
        <v>265</v>
      </c>
      <c r="I1" s="7" t="s">
        <v>266</v>
      </c>
      <c r="J1" s="7" t="s">
        <v>72</v>
      </c>
      <c r="K1" s="7" t="s">
        <v>156</v>
      </c>
      <c r="L1" s="7" t="s">
        <v>267</v>
      </c>
      <c r="M1" s="7" t="s">
        <v>249</v>
      </c>
      <c r="P1" s="7" t="s">
        <v>268</v>
      </c>
    </row>
    <row r="2" spans="1:16" x14ac:dyDescent="0.25">
      <c r="A2" t="s">
        <v>269</v>
      </c>
      <c r="B2" t="s">
        <v>270</v>
      </c>
      <c r="C2" s="1" t="s">
        <v>271</v>
      </c>
      <c r="D2">
        <v>20</v>
      </c>
      <c r="E2">
        <v>2</v>
      </c>
      <c r="F2">
        <v>16</v>
      </c>
      <c r="G2" s="144" t="s">
        <v>272</v>
      </c>
      <c r="J2" t="s">
        <v>86</v>
      </c>
      <c r="K2" t="s">
        <v>158</v>
      </c>
      <c r="M2" t="s">
        <v>273</v>
      </c>
      <c r="P2" s="145" t="s">
        <v>274</v>
      </c>
    </row>
    <row r="3" spans="1:16" x14ac:dyDescent="0.25">
      <c r="A3" t="s">
        <v>15</v>
      </c>
      <c r="B3" t="s">
        <v>87</v>
      </c>
      <c r="C3" s="1" t="s">
        <v>88</v>
      </c>
      <c r="D3">
        <v>45</v>
      </c>
      <c r="E3">
        <v>2</v>
      </c>
      <c r="F3">
        <v>16</v>
      </c>
      <c r="G3" s="144" t="s">
        <v>275</v>
      </c>
      <c r="J3" t="s">
        <v>7</v>
      </c>
      <c r="K3" t="s">
        <v>159</v>
      </c>
      <c r="M3" t="s">
        <v>276</v>
      </c>
      <c r="P3" s="147" t="s">
        <v>277</v>
      </c>
    </row>
    <row r="4" spans="1:16" x14ac:dyDescent="0.25">
      <c r="A4" t="s">
        <v>89</v>
      </c>
      <c r="B4" t="s">
        <v>91</v>
      </c>
      <c r="C4" s="1">
        <v>3878</v>
      </c>
      <c r="D4">
        <v>25</v>
      </c>
      <c r="E4">
        <v>3</v>
      </c>
      <c r="F4">
        <v>24</v>
      </c>
      <c r="G4" s="144" t="s">
        <v>278</v>
      </c>
      <c r="K4" t="s">
        <v>160</v>
      </c>
      <c r="M4" t="s">
        <v>279</v>
      </c>
      <c r="P4" s="144" t="s">
        <v>272</v>
      </c>
    </row>
    <row r="5" spans="1:16" x14ac:dyDescent="0.25">
      <c r="A5" t="s">
        <v>42</v>
      </c>
      <c r="B5" t="s">
        <v>92</v>
      </c>
      <c r="C5" s="1">
        <v>3879</v>
      </c>
      <c r="D5">
        <v>30</v>
      </c>
      <c r="E5">
        <v>0.5</v>
      </c>
      <c r="F5">
        <v>4</v>
      </c>
      <c r="G5" s="144" t="s">
        <v>280</v>
      </c>
      <c r="K5" t="s">
        <v>161</v>
      </c>
      <c r="M5" t="s">
        <v>281</v>
      </c>
      <c r="P5" s="145" t="s">
        <v>282</v>
      </c>
    </row>
    <row r="6" spans="1:16" x14ac:dyDescent="0.25">
      <c r="A6" t="s">
        <v>93</v>
      </c>
      <c r="B6" t="s">
        <v>94</v>
      </c>
      <c r="C6" s="1">
        <v>3882</v>
      </c>
      <c r="D6">
        <v>25</v>
      </c>
      <c r="E6">
        <v>2</v>
      </c>
      <c r="F6">
        <v>16</v>
      </c>
      <c r="G6" s="144" t="s">
        <v>283</v>
      </c>
      <c r="K6" t="s">
        <v>284</v>
      </c>
      <c r="M6" t="s">
        <v>285</v>
      </c>
      <c r="P6" s="145" t="s">
        <v>286</v>
      </c>
    </row>
    <row r="7" spans="1:16" x14ac:dyDescent="0.25">
      <c r="A7" t="s">
        <v>44</v>
      </c>
      <c r="B7" t="s">
        <v>95</v>
      </c>
      <c r="C7" s="1">
        <v>3888</v>
      </c>
      <c r="D7">
        <v>30</v>
      </c>
      <c r="E7">
        <v>0.5</v>
      </c>
      <c r="F7">
        <v>4</v>
      </c>
      <c r="G7" s="144" t="s">
        <v>257</v>
      </c>
      <c r="K7" t="s">
        <v>162</v>
      </c>
      <c r="M7" t="s">
        <v>287</v>
      </c>
      <c r="P7" s="145" t="s">
        <v>288</v>
      </c>
    </row>
    <row r="8" spans="1:16" x14ac:dyDescent="0.25">
      <c r="A8" t="s">
        <v>45</v>
      </c>
      <c r="B8" t="s">
        <v>96</v>
      </c>
      <c r="C8" s="1" t="s">
        <v>97</v>
      </c>
      <c r="D8">
        <v>25</v>
      </c>
      <c r="E8">
        <v>5</v>
      </c>
      <c r="F8">
        <v>40</v>
      </c>
      <c r="G8" s="144" t="s">
        <v>289</v>
      </c>
      <c r="K8" t="s">
        <v>290</v>
      </c>
      <c r="M8" t="s">
        <v>291</v>
      </c>
      <c r="P8" s="145" t="s">
        <v>292</v>
      </c>
    </row>
    <row r="9" spans="1:16" x14ac:dyDescent="0.25">
      <c r="A9" t="s">
        <v>46</v>
      </c>
      <c r="B9" t="s">
        <v>98</v>
      </c>
      <c r="C9" s="1" t="s">
        <v>99</v>
      </c>
      <c r="D9">
        <v>30</v>
      </c>
      <c r="E9">
        <v>1</v>
      </c>
      <c r="F9">
        <v>8</v>
      </c>
      <c r="G9" s="145" t="s">
        <v>272</v>
      </c>
      <c r="K9" t="s">
        <v>163</v>
      </c>
      <c r="M9" t="s">
        <v>293</v>
      </c>
    </row>
    <row r="10" spans="1:16" x14ac:dyDescent="0.25">
      <c r="A10" t="s">
        <v>294</v>
      </c>
      <c r="B10" t="s">
        <v>295</v>
      </c>
      <c r="C10" s="1" t="s">
        <v>296</v>
      </c>
      <c r="D10">
        <v>30</v>
      </c>
      <c r="E10">
        <v>3</v>
      </c>
      <c r="F10">
        <v>24</v>
      </c>
      <c r="G10" s="145" t="s">
        <v>282</v>
      </c>
      <c r="K10" t="s">
        <v>163</v>
      </c>
      <c r="M10" t="s">
        <v>297</v>
      </c>
    </row>
    <row r="11" spans="1:16" x14ac:dyDescent="0.25">
      <c r="A11" t="s">
        <v>37</v>
      </c>
      <c r="B11" t="s">
        <v>101</v>
      </c>
      <c r="C11" s="1" t="s">
        <v>102</v>
      </c>
      <c r="D11">
        <v>45</v>
      </c>
      <c r="E11">
        <v>3</v>
      </c>
      <c r="F11">
        <v>24</v>
      </c>
      <c r="G11" s="145" t="s">
        <v>274</v>
      </c>
      <c r="K11" t="s">
        <v>164</v>
      </c>
    </row>
    <row r="12" spans="1:16" x14ac:dyDescent="0.25">
      <c r="A12" t="s">
        <v>47</v>
      </c>
      <c r="B12" t="s">
        <v>106</v>
      </c>
      <c r="C12" s="1" t="s">
        <v>107</v>
      </c>
      <c r="D12">
        <v>25</v>
      </c>
      <c r="E12">
        <v>5</v>
      </c>
      <c r="F12">
        <v>40</v>
      </c>
      <c r="G12" s="145" t="s">
        <v>286</v>
      </c>
      <c r="K12" t="s">
        <v>165</v>
      </c>
    </row>
    <row r="13" spans="1:16" x14ac:dyDescent="0.25">
      <c r="A13" t="s">
        <v>56</v>
      </c>
      <c r="B13" t="s">
        <v>108</v>
      </c>
      <c r="C13" s="1" t="s">
        <v>109</v>
      </c>
      <c r="D13">
        <v>35</v>
      </c>
      <c r="E13">
        <v>5</v>
      </c>
      <c r="F13" s="77">
        <v>30</v>
      </c>
      <c r="G13" s="145" t="s">
        <v>288</v>
      </c>
      <c r="K13" t="s">
        <v>166</v>
      </c>
    </row>
    <row r="14" spans="1:16" x14ac:dyDescent="0.25">
      <c r="A14" t="s">
        <v>298</v>
      </c>
      <c r="B14" t="s">
        <v>299</v>
      </c>
      <c r="C14" s="1" t="s">
        <v>300</v>
      </c>
      <c r="D14">
        <v>30</v>
      </c>
      <c r="E14">
        <v>4</v>
      </c>
      <c r="F14">
        <v>32</v>
      </c>
      <c r="K14" t="s">
        <v>167</v>
      </c>
    </row>
    <row r="15" spans="1:16" x14ac:dyDescent="0.25">
      <c r="A15" t="s">
        <v>48</v>
      </c>
      <c r="B15" t="s">
        <v>110</v>
      </c>
      <c r="C15" s="1" t="s">
        <v>111</v>
      </c>
      <c r="D15">
        <v>25</v>
      </c>
      <c r="E15">
        <v>2</v>
      </c>
      <c r="F15">
        <v>16</v>
      </c>
      <c r="G15" s="146"/>
      <c r="K15" t="s">
        <v>168</v>
      </c>
    </row>
    <row r="16" spans="1:16" x14ac:dyDescent="0.25">
      <c r="A16" t="s">
        <v>17</v>
      </c>
      <c r="B16" t="s">
        <v>112</v>
      </c>
      <c r="C16" s="1">
        <v>3682</v>
      </c>
      <c r="D16">
        <v>40</v>
      </c>
      <c r="E16">
        <v>5</v>
      </c>
      <c r="F16">
        <v>40</v>
      </c>
      <c r="G16" s="146" t="s">
        <v>301</v>
      </c>
      <c r="K16" t="s">
        <v>302</v>
      </c>
    </row>
    <row r="17" spans="1:11" x14ac:dyDescent="0.25">
      <c r="A17" t="s">
        <v>28</v>
      </c>
      <c r="B17" t="s">
        <v>113</v>
      </c>
      <c r="C17" s="1">
        <v>3683</v>
      </c>
      <c r="D17">
        <v>40</v>
      </c>
      <c r="E17">
        <v>3</v>
      </c>
      <c r="F17">
        <v>24</v>
      </c>
      <c r="G17" s="146" t="s">
        <v>303</v>
      </c>
      <c r="K17" t="s">
        <v>169</v>
      </c>
    </row>
    <row r="18" spans="1:11" x14ac:dyDescent="0.25">
      <c r="A18" t="s">
        <v>57</v>
      </c>
      <c r="B18" t="s">
        <v>114</v>
      </c>
      <c r="C18" s="1" t="s">
        <v>115</v>
      </c>
      <c r="D18">
        <v>45</v>
      </c>
      <c r="E18">
        <v>3</v>
      </c>
      <c r="F18">
        <v>24</v>
      </c>
      <c r="G18" s="146" t="s">
        <v>304</v>
      </c>
      <c r="K18" t="s">
        <v>170</v>
      </c>
    </row>
    <row r="19" spans="1:11" x14ac:dyDescent="0.25">
      <c r="A19" t="s">
        <v>55</v>
      </c>
      <c r="B19" t="s">
        <v>104</v>
      </c>
      <c r="C19" s="1" t="s">
        <v>105</v>
      </c>
      <c r="D19">
        <v>25</v>
      </c>
      <c r="E19">
        <v>5</v>
      </c>
      <c r="F19">
        <v>40</v>
      </c>
      <c r="G19" s="146" t="s">
        <v>305</v>
      </c>
      <c r="K19" t="s">
        <v>171</v>
      </c>
    </row>
    <row r="20" spans="1:11" x14ac:dyDescent="0.25">
      <c r="A20" t="s">
        <v>306</v>
      </c>
      <c r="B20" t="s">
        <v>104</v>
      </c>
      <c r="C20" s="1" t="s">
        <v>105</v>
      </c>
      <c r="D20">
        <v>25</v>
      </c>
      <c r="E20">
        <v>5</v>
      </c>
      <c r="F20">
        <v>40</v>
      </c>
      <c r="G20" s="146" t="s">
        <v>307</v>
      </c>
      <c r="K20" t="s">
        <v>172</v>
      </c>
    </row>
    <row r="21" spans="1:11" x14ac:dyDescent="0.25">
      <c r="A21" t="s">
        <v>58</v>
      </c>
      <c r="B21" t="s">
        <v>308</v>
      </c>
      <c r="C21" s="1" t="s">
        <v>117</v>
      </c>
      <c r="D21">
        <v>30</v>
      </c>
      <c r="E21">
        <v>4</v>
      </c>
      <c r="F21">
        <v>32</v>
      </c>
      <c r="G21" s="146" t="s">
        <v>309</v>
      </c>
      <c r="K21" t="s">
        <v>173</v>
      </c>
    </row>
    <row r="22" spans="1:11" x14ac:dyDescent="0.25">
      <c r="A22" t="s">
        <v>38</v>
      </c>
      <c r="B22" t="s">
        <v>118</v>
      </c>
      <c r="C22" s="1" t="s">
        <v>119</v>
      </c>
      <c r="D22">
        <v>45</v>
      </c>
      <c r="E22" s="77">
        <v>4</v>
      </c>
      <c r="F22">
        <v>30</v>
      </c>
      <c r="G22" s="146" t="s">
        <v>310</v>
      </c>
      <c r="K22" t="s">
        <v>174</v>
      </c>
    </row>
    <row r="23" spans="1:11" x14ac:dyDescent="0.25">
      <c r="A23" t="s">
        <v>311</v>
      </c>
      <c r="B23" t="s">
        <v>312</v>
      </c>
      <c r="C23" s="1" t="s">
        <v>313</v>
      </c>
      <c r="D23">
        <v>30</v>
      </c>
      <c r="E23">
        <v>3</v>
      </c>
      <c r="F23">
        <v>24</v>
      </c>
      <c r="G23" s="146" t="s">
        <v>314</v>
      </c>
      <c r="K23" t="s">
        <v>86</v>
      </c>
    </row>
    <row r="24" spans="1:11" x14ac:dyDescent="0.25">
      <c r="A24" t="s">
        <v>120</v>
      </c>
      <c r="B24" t="s">
        <v>121</v>
      </c>
      <c r="C24" s="1" t="s">
        <v>122</v>
      </c>
      <c r="D24">
        <v>45</v>
      </c>
      <c r="E24">
        <v>3</v>
      </c>
      <c r="F24">
        <v>24</v>
      </c>
      <c r="K24" t="s">
        <v>175</v>
      </c>
    </row>
    <row r="25" spans="1:11" x14ac:dyDescent="0.25">
      <c r="A25" t="s">
        <v>29</v>
      </c>
      <c r="B25" t="s">
        <v>123</v>
      </c>
      <c r="C25" s="34" t="s">
        <v>124</v>
      </c>
      <c r="D25">
        <v>25</v>
      </c>
      <c r="E25">
        <v>3</v>
      </c>
      <c r="F25">
        <v>24</v>
      </c>
      <c r="K25" t="s">
        <v>176</v>
      </c>
    </row>
    <row r="26" spans="1:11" x14ac:dyDescent="0.25">
      <c r="A26" t="s">
        <v>31</v>
      </c>
      <c r="B26" t="s">
        <v>125</v>
      </c>
      <c r="C26" s="1" t="s">
        <v>126</v>
      </c>
      <c r="D26">
        <v>30</v>
      </c>
      <c r="E26">
        <v>1</v>
      </c>
      <c r="F26">
        <v>8</v>
      </c>
      <c r="G26" s="147" t="s">
        <v>315</v>
      </c>
      <c r="K26" t="s">
        <v>177</v>
      </c>
    </row>
    <row r="27" spans="1:11" x14ac:dyDescent="0.25">
      <c r="A27" t="s">
        <v>32</v>
      </c>
      <c r="B27" t="s">
        <v>127</v>
      </c>
      <c r="C27" s="1" t="s">
        <v>128</v>
      </c>
      <c r="D27">
        <v>30</v>
      </c>
      <c r="E27">
        <v>2</v>
      </c>
      <c r="F27">
        <v>16</v>
      </c>
      <c r="G27" s="147" t="s">
        <v>316</v>
      </c>
      <c r="K27" t="s">
        <v>178</v>
      </c>
    </row>
    <row r="28" spans="1:11" x14ac:dyDescent="0.25">
      <c r="A28" t="s">
        <v>33</v>
      </c>
      <c r="B28" t="s">
        <v>129</v>
      </c>
      <c r="C28" s="1" t="s">
        <v>130</v>
      </c>
      <c r="D28">
        <v>30</v>
      </c>
      <c r="E28">
        <v>1</v>
      </c>
      <c r="F28">
        <v>8</v>
      </c>
      <c r="G28" s="147" t="s">
        <v>317</v>
      </c>
      <c r="K28" t="s">
        <v>179</v>
      </c>
    </row>
    <row r="29" spans="1:11" x14ac:dyDescent="0.25">
      <c r="A29" t="s">
        <v>34</v>
      </c>
      <c r="B29" t="s">
        <v>131</v>
      </c>
      <c r="C29" s="1" t="s">
        <v>132</v>
      </c>
      <c r="D29">
        <v>30</v>
      </c>
      <c r="E29">
        <v>1</v>
      </c>
      <c r="F29">
        <v>8</v>
      </c>
      <c r="G29" s="147" t="s">
        <v>278</v>
      </c>
      <c r="K29" t="s">
        <v>180</v>
      </c>
    </row>
    <row r="30" spans="1:11" x14ac:dyDescent="0.25">
      <c r="A30" t="s">
        <v>49</v>
      </c>
      <c r="B30" t="s">
        <v>133</v>
      </c>
      <c r="C30" s="1">
        <v>5891</v>
      </c>
      <c r="D30">
        <v>25</v>
      </c>
      <c r="E30">
        <v>3</v>
      </c>
      <c r="F30">
        <v>24</v>
      </c>
      <c r="G30" s="147" t="s">
        <v>318</v>
      </c>
      <c r="K30" t="s">
        <v>181</v>
      </c>
    </row>
    <row r="31" spans="1:11" x14ac:dyDescent="0.25">
      <c r="A31" t="s">
        <v>50</v>
      </c>
      <c r="B31" t="s">
        <v>134</v>
      </c>
      <c r="C31" s="1" t="s">
        <v>135</v>
      </c>
      <c r="D31" s="77">
        <v>45</v>
      </c>
      <c r="E31">
        <v>3</v>
      </c>
      <c r="F31">
        <v>24</v>
      </c>
      <c r="G31" s="147" t="s">
        <v>274</v>
      </c>
      <c r="K31" t="s">
        <v>182</v>
      </c>
    </row>
    <row r="32" spans="1:11" x14ac:dyDescent="0.25">
      <c r="A32" t="s">
        <v>51</v>
      </c>
      <c r="B32" t="s">
        <v>136</v>
      </c>
      <c r="C32" s="1" t="s">
        <v>137</v>
      </c>
      <c r="D32" s="77">
        <v>45</v>
      </c>
      <c r="E32">
        <v>4</v>
      </c>
      <c r="F32">
        <v>32</v>
      </c>
      <c r="G32" s="147" t="s">
        <v>277</v>
      </c>
      <c r="K32" t="s">
        <v>183</v>
      </c>
    </row>
    <row r="33" spans="1:11" x14ac:dyDescent="0.25">
      <c r="A33" t="s">
        <v>319</v>
      </c>
      <c r="B33" t="s">
        <v>320</v>
      </c>
      <c r="C33" s="1" t="s">
        <v>321</v>
      </c>
      <c r="D33">
        <v>30</v>
      </c>
      <c r="E33">
        <v>4</v>
      </c>
      <c r="F33">
        <v>32</v>
      </c>
      <c r="G33" s="147" t="s">
        <v>322</v>
      </c>
      <c r="K33" t="s">
        <v>184</v>
      </c>
    </row>
    <row r="34" spans="1:11" x14ac:dyDescent="0.25">
      <c r="A34" t="s">
        <v>59</v>
      </c>
      <c r="B34" t="s">
        <v>138</v>
      </c>
      <c r="C34" s="1" t="s">
        <v>139</v>
      </c>
      <c r="D34">
        <v>45</v>
      </c>
      <c r="E34">
        <v>4</v>
      </c>
      <c r="F34">
        <v>32</v>
      </c>
      <c r="G34" s="147" t="s">
        <v>323</v>
      </c>
      <c r="K34" t="s">
        <v>185</v>
      </c>
    </row>
    <row r="35" spans="1:11" x14ac:dyDescent="0.25">
      <c r="A35" t="s">
        <v>324</v>
      </c>
      <c r="B35" t="s">
        <v>325</v>
      </c>
      <c r="C35" s="1" t="s">
        <v>326</v>
      </c>
      <c r="D35">
        <v>30</v>
      </c>
      <c r="E35">
        <v>4</v>
      </c>
      <c r="F35">
        <v>32</v>
      </c>
      <c r="G35" s="147" t="s">
        <v>327</v>
      </c>
      <c r="K35" t="s">
        <v>328</v>
      </c>
    </row>
    <row r="36" spans="1:11" x14ac:dyDescent="0.25">
      <c r="A36" t="s">
        <v>60</v>
      </c>
      <c r="B36" t="s">
        <v>140</v>
      </c>
      <c r="C36" s="1" t="s">
        <v>141</v>
      </c>
      <c r="D36">
        <v>30</v>
      </c>
      <c r="E36">
        <v>4</v>
      </c>
      <c r="F36">
        <v>32</v>
      </c>
      <c r="G36" t="s">
        <v>329</v>
      </c>
      <c r="K36" t="s">
        <v>186</v>
      </c>
    </row>
    <row r="37" spans="1:11" x14ac:dyDescent="0.25">
      <c r="A37" t="s">
        <v>61</v>
      </c>
      <c r="B37" t="s">
        <v>142</v>
      </c>
      <c r="C37" s="1">
        <v>1228</v>
      </c>
      <c r="D37">
        <v>45</v>
      </c>
      <c r="E37" s="77">
        <v>4</v>
      </c>
      <c r="F37">
        <v>32</v>
      </c>
      <c r="G37" t="s">
        <v>330</v>
      </c>
      <c r="K37" t="s">
        <v>187</v>
      </c>
    </row>
    <row r="38" spans="1:11" x14ac:dyDescent="0.25">
      <c r="A38" t="s">
        <v>331</v>
      </c>
      <c r="B38" t="s">
        <v>332</v>
      </c>
      <c r="C38" s="1" t="s">
        <v>333</v>
      </c>
      <c r="D38">
        <v>30</v>
      </c>
      <c r="E38">
        <v>0</v>
      </c>
      <c r="G38" s="147" t="s">
        <v>334</v>
      </c>
      <c r="K38" t="s">
        <v>335</v>
      </c>
    </row>
    <row r="39" spans="1:11" x14ac:dyDescent="0.25">
      <c r="A39" t="s">
        <v>52</v>
      </c>
      <c r="B39" t="s">
        <v>143</v>
      </c>
      <c r="C39" s="1">
        <v>3555</v>
      </c>
      <c r="D39" s="77">
        <v>45</v>
      </c>
      <c r="E39">
        <v>4</v>
      </c>
      <c r="F39">
        <v>32</v>
      </c>
      <c r="G39" s="147" t="s">
        <v>336</v>
      </c>
      <c r="K39" t="s">
        <v>188</v>
      </c>
    </row>
    <row r="40" spans="1:11" x14ac:dyDescent="0.25">
      <c r="A40" t="s">
        <v>35</v>
      </c>
      <c r="B40" t="s">
        <v>144</v>
      </c>
      <c r="C40" s="1" t="s">
        <v>145</v>
      </c>
      <c r="D40">
        <v>30</v>
      </c>
      <c r="E40">
        <v>1</v>
      </c>
      <c r="F40">
        <v>8</v>
      </c>
      <c r="K40" t="s">
        <v>189</v>
      </c>
    </row>
    <row r="41" spans="1:11" x14ac:dyDescent="0.25">
      <c r="A41" t="s">
        <v>39</v>
      </c>
      <c r="B41" t="s">
        <v>146</v>
      </c>
      <c r="C41" s="1" t="s">
        <v>147</v>
      </c>
      <c r="D41">
        <v>45</v>
      </c>
      <c r="E41">
        <v>2</v>
      </c>
      <c r="F41">
        <v>16</v>
      </c>
      <c r="K41" t="s">
        <v>190</v>
      </c>
    </row>
    <row r="42" spans="1:11" x14ac:dyDescent="0.25">
      <c r="A42" t="s">
        <v>53</v>
      </c>
      <c r="B42" t="s">
        <v>148</v>
      </c>
      <c r="C42" s="1" t="s">
        <v>149</v>
      </c>
      <c r="D42">
        <v>30</v>
      </c>
      <c r="E42">
        <v>5</v>
      </c>
      <c r="F42">
        <v>40</v>
      </c>
      <c r="K42" t="s">
        <v>337</v>
      </c>
    </row>
    <row r="43" spans="1:11" x14ac:dyDescent="0.25">
      <c r="A43" t="s">
        <v>338</v>
      </c>
      <c r="B43" t="s">
        <v>339</v>
      </c>
      <c r="C43" s="1" t="s">
        <v>340</v>
      </c>
      <c r="D43">
        <v>20</v>
      </c>
      <c r="E43">
        <v>5</v>
      </c>
      <c r="F43">
        <v>40</v>
      </c>
      <c r="K43" t="s">
        <v>341</v>
      </c>
    </row>
    <row r="44" spans="1:11" x14ac:dyDescent="0.25">
      <c r="A44" t="s">
        <v>342</v>
      </c>
      <c r="B44" t="s">
        <v>343</v>
      </c>
      <c r="C44" s="1" t="s">
        <v>344</v>
      </c>
      <c r="D44">
        <v>30</v>
      </c>
      <c r="E44">
        <v>2</v>
      </c>
      <c r="F44">
        <v>16</v>
      </c>
      <c r="K44" t="s">
        <v>191</v>
      </c>
    </row>
    <row r="45" spans="1:11" x14ac:dyDescent="0.25">
      <c r="A45" t="s">
        <v>40</v>
      </c>
      <c r="B45" t="s">
        <v>150</v>
      </c>
      <c r="C45" s="1" t="s">
        <v>151</v>
      </c>
      <c r="D45">
        <v>100</v>
      </c>
      <c r="E45">
        <v>2</v>
      </c>
      <c r="F45">
        <v>16</v>
      </c>
      <c r="K45" t="s">
        <v>192</v>
      </c>
    </row>
    <row r="46" spans="1:11" x14ac:dyDescent="0.25">
      <c r="A46" t="s">
        <v>345</v>
      </c>
      <c r="B46" t="s">
        <v>346</v>
      </c>
      <c r="C46" s="1" t="s">
        <v>346</v>
      </c>
      <c r="D46">
        <v>0</v>
      </c>
      <c r="E46">
        <v>0</v>
      </c>
      <c r="K46" t="s">
        <v>347</v>
      </c>
    </row>
    <row r="47" spans="1:11" x14ac:dyDescent="0.25">
      <c r="A47" t="s">
        <v>348</v>
      </c>
      <c r="B47" t="s">
        <v>349</v>
      </c>
      <c r="C47" s="1" t="s">
        <v>350</v>
      </c>
      <c r="D47">
        <v>30</v>
      </c>
      <c r="E47">
        <v>2</v>
      </c>
      <c r="F47">
        <v>16</v>
      </c>
      <c r="K47" t="s">
        <v>351</v>
      </c>
    </row>
    <row r="48" spans="1:11" x14ac:dyDescent="0.25">
      <c r="A48" t="s">
        <v>54</v>
      </c>
      <c r="B48" t="s">
        <v>152</v>
      </c>
      <c r="C48" s="1" t="s">
        <v>153</v>
      </c>
      <c r="D48" s="77">
        <v>45</v>
      </c>
      <c r="E48">
        <v>2</v>
      </c>
      <c r="F48">
        <v>16</v>
      </c>
      <c r="K48" t="s">
        <v>193</v>
      </c>
    </row>
    <row r="49" spans="1:11" x14ac:dyDescent="0.25">
      <c r="A49" t="s">
        <v>36</v>
      </c>
      <c r="B49" t="s">
        <v>352</v>
      </c>
      <c r="C49" s="1" t="s">
        <v>353</v>
      </c>
      <c r="D49">
        <v>25</v>
      </c>
      <c r="E49">
        <v>5</v>
      </c>
      <c r="F49">
        <v>40</v>
      </c>
      <c r="K49" t="s">
        <v>354</v>
      </c>
    </row>
    <row r="50" spans="1:11" x14ac:dyDescent="0.25">
      <c r="A50" t="s">
        <v>355</v>
      </c>
      <c r="B50" t="s">
        <v>356</v>
      </c>
      <c r="C50" s="1" t="s">
        <v>356</v>
      </c>
      <c r="D50">
        <v>0</v>
      </c>
      <c r="E50">
        <v>0</v>
      </c>
      <c r="F50">
        <v>0</v>
      </c>
      <c r="K50" t="s">
        <v>357</v>
      </c>
    </row>
    <row r="51" spans="1:11" x14ac:dyDescent="0.25">
      <c r="A51" t="s">
        <v>223</v>
      </c>
      <c r="B51" t="s">
        <v>223</v>
      </c>
      <c r="C51" s="1" t="s">
        <v>223</v>
      </c>
      <c r="D51">
        <v>0</v>
      </c>
      <c r="E51">
        <v>0</v>
      </c>
      <c r="F51">
        <v>0</v>
      </c>
      <c r="K51" t="s">
        <v>194</v>
      </c>
    </row>
    <row r="52" spans="1:11" x14ac:dyDescent="0.25">
      <c r="A52" t="s">
        <v>358</v>
      </c>
      <c r="B52" t="s">
        <v>359</v>
      </c>
      <c r="C52" s="1" t="s">
        <v>360</v>
      </c>
      <c r="D52">
        <v>0</v>
      </c>
      <c r="E52">
        <v>0</v>
      </c>
      <c r="F52">
        <v>0</v>
      </c>
      <c r="K52" t="s">
        <v>195</v>
      </c>
    </row>
    <row r="53" spans="1:11" x14ac:dyDescent="0.25">
      <c r="A53" s="63" t="s">
        <v>361</v>
      </c>
      <c r="B53" t="s">
        <v>362</v>
      </c>
      <c r="C53" s="1" t="s">
        <v>362</v>
      </c>
      <c r="D53">
        <v>0</v>
      </c>
      <c r="E53">
        <v>0</v>
      </c>
      <c r="F53">
        <v>0</v>
      </c>
      <c r="K53" t="s">
        <v>196</v>
      </c>
    </row>
    <row r="54" spans="1:11" x14ac:dyDescent="0.25">
      <c r="K54" t="s">
        <v>197</v>
      </c>
    </row>
    <row r="55" spans="1:11" x14ac:dyDescent="0.25">
      <c r="K55" t="s">
        <v>198</v>
      </c>
    </row>
    <row r="56" spans="1:11" x14ac:dyDescent="0.25">
      <c r="K56" t="s">
        <v>199</v>
      </c>
    </row>
    <row r="57" spans="1:11" x14ac:dyDescent="0.25">
      <c r="K57" t="s">
        <v>363</v>
      </c>
    </row>
    <row r="58" spans="1:11" x14ac:dyDescent="0.25">
      <c r="K58" t="s">
        <v>200</v>
      </c>
    </row>
    <row r="59" spans="1:11" x14ac:dyDescent="0.25">
      <c r="K59" t="s">
        <v>364</v>
      </c>
    </row>
    <row r="60" spans="1:11" x14ac:dyDescent="0.25">
      <c r="K60" t="s">
        <v>202</v>
      </c>
    </row>
    <row r="61" spans="1:11" x14ac:dyDescent="0.25">
      <c r="K61" t="s">
        <v>258</v>
      </c>
    </row>
    <row r="62" spans="1:11" x14ac:dyDescent="0.25">
      <c r="K62" t="s">
        <v>203</v>
      </c>
    </row>
    <row r="63" spans="1:11" x14ac:dyDescent="0.25">
      <c r="K63" t="s">
        <v>204</v>
      </c>
    </row>
    <row r="64" spans="1:11" x14ac:dyDescent="0.25">
      <c r="K64" t="s">
        <v>205</v>
      </c>
    </row>
    <row r="65" spans="11:11" x14ac:dyDescent="0.25">
      <c r="K65" t="s">
        <v>206</v>
      </c>
    </row>
    <row r="66" spans="11:11" x14ac:dyDescent="0.25">
      <c r="K66" t="s">
        <v>365</v>
      </c>
    </row>
    <row r="67" spans="11:11" x14ac:dyDescent="0.25">
      <c r="K67" t="s">
        <v>207</v>
      </c>
    </row>
    <row r="68" spans="11:11" x14ac:dyDescent="0.25">
      <c r="K68" t="s">
        <v>224</v>
      </c>
    </row>
    <row r="69" spans="11:11" x14ac:dyDescent="0.25">
      <c r="K69" t="s">
        <v>366</v>
      </c>
    </row>
    <row r="70" spans="11:11" x14ac:dyDescent="0.25">
      <c r="K70" t="s">
        <v>208</v>
      </c>
    </row>
    <row r="71" spans="11:11" x14ac:dyDescent="0.25">
      <c r="K71" t="s">
        <v>367</v>
      </c>
    </row>
    <row r="72" spans="11:11" x14ac:dyDescent="0.25">
      <c r="K72" t="s">
        <v>209</v>
      </c>
    </row>
    <row r="73" spans="11:11" x14ac:dyDescent="0.25">
      <c r="K73" t="s">
        <v>368</v>
      </c>
    </row>
    <row r="74" spans="11:11" x14ac:dyDescent="0.25">
      <c r="K74" t="s">
        <v>369</v>
      </c>
    </row>
    <row r="75" spans="11:11" x14ac:dyDescent="0.25">
      <c r="K75" t="s">
        <v>370</v>
      </c>
    </row>
    <row r="76" spans="11:11" x14ac:dyDescent="0.25">
      <c r="K76" t="s">
        <v>210</v>
      </c>
    </row>
    <row r="77" spans="11:11" x14ac:dyDescent="0.25">
      <c r="K77" t="s">
        <v>211</v>
      </c>
    </row>
    <row r="78" spans="11:11" x14ac:dyDescent="0.25">
      <c r="K78" t="s">
        <v>371</v>
      </c>
    </row>
    <row r="79" spans="11:11" x14ac:dyDescent="0.25">
      <c r="K79" t="s">
        <v>372</v>
      </c>
    </row>
    <row r="80" spans="11:11" x14ac:dyDescent="0.25">
      <c r="K80" t="s">
        <v>212</v>
      </c>
    </row>
    <row r="81" spans="11:11" x14ac:dyDescent="0.25">
      <c r="K81" t="s">
        <v>373</v>
      </c>
    </row>
    <row r="82" spans="11:11" x14ac:dyDescent="0.25">
      <c r="K82" t="s">
        <v>374</v>
      </c>
    </row>
    <row r="83" spans="11:11" x14ac:dyDescent="0.25">
      <c r="K83" t="s">
        <v>213</v>
      </c>
    </row>
    <row r="84" spans="11:11" x14ac:dyDescent="0.25">
      <c r="K84" t="s">
        <v>375</v>
      </c>
    </row>
    <row r="85" spans="11:11" x14ac:dyDescent="0.25">
      <c r="K85" t="s">
        <v>376</v>
      </c>
    </row>
    <row r="86" spans="11:11" x14ac:dyDescent="0.25">
      <c r="K86" t="s">
        <v>255</v>
      </c>
    </row>
    <row r="87" spans="11:11" x14ac:dyDescent="0.25">
      <c r="K87" t="s">
        <v>215</v>
      </c>
    </row>
    <row r="88" spans="11:11" x14ac:dyDescent="0.25">
      <c r="K88" t="s">
        <v>377</v>
      </c>
    </row>
    <row r="89" spans="11:11" x14ac:dyDescent="0.25">
      <c r="K89" t="s">
        <v>216</v>
      </c>
    </row>
    <row r="90" spans="11:11" x14ac:dyDescent="0.25">
      <c r="K90" t="s">
        <v>217</v>
      </c>
    </row>
    <row r="91" spans="11:11" x14ac:dyDescent="0.25">
      <c r="K91" t="s">
        <v>378</v>
      </c>
    </row>
    <row r="92" spans="11:11" x14ac:dyDescent="0.25">
      <c r="K92" t="s">
        <v>218</v>
      </c>
    </row>
    <row r="93" spans="11:11" x14ac:dyDescent="0.25">
      <c r="K93" t="s">
        <v>379</v>
      </c>
    </row>
    <row r="94" spans="11:11" x14ac:dyDescent="0.25">
      <c r="K94" t="s">
        <v>219</v>
      </c>
    </row>
    <row r="95" spans="11:11" x14ac:dyDescent="0.25">
      <c r="K95" t="s">
        <v>380</v>
      </c>
    </row>
    <row r="96" spans="11:11" x14ac:dyDescent="0.25">
      <c r="K96" t="s">
        <v>381</v>
      </c>
    </row>
    <row r="97" spans="11:11" x14ac:dyDescent="0.25">
      <c r="K97" t="s">
        <v>220</v>
      </c>
    </row>
    <row r="98" spans="11:11" x14ac:dyDescent="0.25">
      <c r="K98" t="s">
        <v>221</v>
      </c>
    </row>
    <row r="99" spans="11:11" x14ac:dyDescent="0.25">
      <c r="K99" t="s">
        <v>382</v>
      </c>
    </row>
    <row r="100" spans="11:11" x14ac:dyDescent="0.25">
      <c r="K100" t="s">
        <v>223</v>
      </c>
    </row>
  </sheetData>
  <sortState xmlns:xlrd2="http://schemas.microsoft.com/office/spreadsheetml/2017/richdata2" ref="K2:K1048576">
    <sortCondition ref="K2:K1048576"/>
  </sortState>
  <conditionalFormatting sqref="A53">
    <cfRule type="expression" dxfId="1239" priority="1">
      <formula>$Z52="Benzick, Sue"</formula>
    </cfRule>
    <cfRule type="expression" dxfId="1238" priority="2">
      <formula>$Z52="Jenne, Richard"</formula>
    </cfRule>
    <cfRule type="expression" dxfId="1237" priority="3">
      <formula>$Z52="McQueen, Jennifer"</formula>
    </cfRule>
  </conditionalFormatting>
  <dataValidations disablePrompts="1" count="1">
    <dataValidation type="list" allowBlank="1" showInputMessage="1" showErrorMessage="1" sqref="A53" xr:uid="{00000000-0002-0000-0600-000000000000}">
      <formula1>Class</formula1>
    </dataValidation>
  </dataValidations>
  <pageMargins left="0.7" right="0.7" top="0.75" bottom="0.75" header="0.3" footer="0.3"/>
  <pageSetup orientation="portrait" r:id="rId1"/>
  <ignoredErrors>
    <ignoredError sqref="C2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9DE3D-EB10-4E9D-B779-3906CC1B29D9}">
  <dimension ref="A1:Y15"/>
  <sheetViews>
    <sheetView workbookViewId="0">
      <selection sqref="A1:A1048576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383</v>
      </c>
    </row>
    <row r="3" spans="1:25" x14ac:dyDescent="0.25">
      <c r="A3" t="s">
        <v>384</v>
      </c>
      <c r="B3" t="s">
        <v>385</v>
      </c>
      <c r="C3" t="s">
        <v>41</v>
      </c>
      <c r="D3" t="s">
        <v>42</v>
      </c>
      <c r="E3" t="s">
        <v>386</v>
      </c>
      <c r="F3" t="s">
        <v>44</v>
      </c>
      <c r="G3" t="s">
        <v>45</v>
      </c>
      <c r="H3" t="s">
        <v>46</v>
      </c>
      <c r="I3" t="s">
        <v>387</v>
      </c>
      <c r="J3" t="s">
        <v>388</v>
      </c>
      <c r="K3" t="s">
        <v>56</v>
      </c>
      <c r="L3" t="s">
        <v>48</v>
      </c>
      <c r="M3" t="s">
        <v>389</v>
      </c>
      <c r="N3" t="s">
        <v>390</v>
      </c>
      <c r="O3" t="s">
        <v>391</v>
      </c>
      <c r="P3" t="s">
        <v>392</v>
      </c>
      <c r="Q3" t="s">
        <v>393</v>
      </c>
      <c r="R3" t="s">
        <v>394</v>
      </c>
      <c r="S3" t="s">
        <v>395</v>
      </c>
      <c r="T3" t="s">
        <v>396</v>
      </c>
      <c r="U3" t="s">
        <v>397</v>
      </c>
      <c r="V3" t="s">
        <v>398</v>
      </c>
      <c r="W3" t="s">
        <v>53</v>
      </c>
      <c r="X3" t="s">
        <v>399</v>
      </c>
      <c r="Y3" t="s">
        <v>400</v>
      </c>
    </row>
    <row r="4" spans="1:25" x14ac:dyDescent="0.25">
      <c r="A4" t="s">
        <v>401</v>
      </c>
      <c r="B4" t="s">
        <v>159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402</v>
      </c>
      <c r="B5" t="s">
        <v>159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4</v>
      </c>
      <c r="K5">
        <v>10</v>
      </c>
      <c r="P5">
        <v>1</v>
      </c>
      <c r="Q5">
        <v>1</v>
      </c>
      <c r="R5">
        <v>2</v>
      </c>
      <c r="S5">
        <v>3</v>
      </c>
      <c r="V5">
        <v>1</v>
      </c>
      <c r="Y5">
        <v>34</v>
      </c>
    </row>
    <row r="6" spans="1:25" x14ac:dyDescent="0.25">
      <c r="A6" t="s">
        <v>403</v>
      </c>
      <c r="B6" t="s">
        <v>159</v>
      </c>
      <c r="M6">
        <v>30</v>
      </c>
      <c r="Q6">
        <v>30</v>
      </c>
      <c r="S6">
        <v>30</v>
      </c>
      <c r="V6">
        <v>30</v>
      </c>
      <c r="Y6">
        <v>120</v>
      </c>
    </row>
    <row r="7" spans="1:25" x14ac:dyDescent="0.25">
      <c r="A7" t="s">
        <v>404</v>
      </c>
      <c r="B7" t="s">
        <v>159</v>
      </c>
      <c r="Y7">
        <v>0</v>
      </c>
    </row>
    <row r="8" spans="1:25" x14ac:dyDescent="0.25">
      <c r="A8" t="s">
        <v>405</v>
      </c>
      <c r="B8" t="s">
        <v>159</v>
      </c>
      <c r="Y8">
        <v>0</v>
      </c>
    </row>
    <row r="9" spans="1:25" x14ac:dyDescent="0.25">
      <c r="A9" t="s">
        <v>406</v>
      </c>
      <c r="B9" t="s">
        <v>159</v>
      </c>
      <c r="W9">
        <v>1</v>
      </c>
      <c r="Y9">
        <v>1</v>
      </c>
    </row>
    <row r="10" spans="1:25" x14ac:dyDescent="0.25">
      <c r="A10" t="s">
        <v>407</v>
      </c>
      <c r="B10" t="s">
        <v>159</v>
      </c>
      <c r="I10">
        <v>2</v>
      </c>
      <c r="Y10">
        <v>2</v>
      </c>
    </row>
    <row r="11" spans="1:25" x14ac:dyDescent="0.25">
      <c r="A11" t="s">
        <v>408</v>
      </c>
      <c r="B11" t="s">
        <v>159</v>
      </c>
      <c r="Y11">
        <v>0</v>
      </c>
    </row>
    <row r="12" spans="1:25" x14ac:dyDescent="0.25">
      <c r="A12" t="s">
        <v>409</v>
      </c>
      <c r="B12" t="s">
        <v>159</v>
      </c>
      <c r="Y12">
        <v>0</v>
      </c>
    </row>
    <row r="13" spans="1:25" x14ac:dyDescent="0.25">
      <c r="A13" t="s">
        <v>410</v>
      </c>
      <c r="B13" t="s">
        <v>159</v>
      </c>
      <c r="Y13">
        <v>0</v>
      </c>
    </row>
    <row r="14" spans="1:25" x14ac:dyDescent="0.25">
      <c r="A14" t="s">
        <v>411</v>
      </c>
      <c r="B14" t="s">
        <v>159</v>
      </c>
      <c r="Y14">
        <v>0</v>
      </c>
    </row>
    <row r="15" spans="1:25" x14ac:dyDescent="0.25">
      <c r="A15" t="s">
        <v>412</v>
      </c>
      <c r="B15" t="s">
        <v>159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669D-2ECC-463B-A7D6-8D15B7D81945}">
  <dimension ref="A1:Y15"/>
  <sheetViews>
    <sheetView workbookViewId="0">
      <selection activeCell="A7" sqref="A7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413</v>
      </c>
    </row>
    <row r="3" spans="1:25" x14ac:dyDescent="0.25">
      <c r="A3" t="s">
        <v>384</v>
      </c>
      <c r="B3" t="s">
        <v>385</v>
      </c>
      <c r="C3" t="s">
        <v>41</v>
      </c>
      <c r="D3" t="s">
        <v>42</v>
      </c>
      <c r="E3" t="s">
        <v>386</v>
      </c>
      <c r="F3" t="s">
        <v>44</v>
      </c>
      <c r="G3" t="s">
        <v>45</v>
      </c>
      <c r="H3" t="s">
        <v>46</v>
      </c>
      <c r="I3" t="s">
        <v>387</v>
      </c>
      <c r="J3" t="s">
        <v>388</v>
      </c>
      <c r="K3" t="s">
        <v>56</v>
      </c>
      <c r="L3" t="s">
        <v>48</v>
      </c>
      <c r="M3" t="s">
        <v>389</v>
      </c>
      <c r="N3" t="s">
        <v>390</v>
      </c>
      <c r="O3" t="s">
        <v>391</v>
      </c>
      <c r="P3" t="s">
        <v>392</v>
      </c>
      <c r="Q3" t="s">
        <v>393</v>
      </c>
      <c r="R3" t="s">
        <v>394</v>
      </c>
      <c r="S3" t="s">
        <v>395</v>
      </c>
      <c r="T3" t="s">
        <v>396</v>
      </c>
      <c r="U3" t="s">
        <v>397</v>
      </c>
      <c r="V3" t="s">
        <v>398</v>
      </c>
      <c r="W3" t="s">
        <v>53</v>
      </c>
      <c r="X3" t="s">
        <v>399</v>
      </c>
      <c r="Y3" t="s">
        <v>400</v>
      </c>
    </row>
    <row r="4" spans="1:25" x14ac:dyDescent="0.25">
      <c r="A4" t="s">
        <v>401</v>
      </c>
      <c r="B4" t="s">
        <v>160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406</v>
      </c>
      <c r="B5" t="s">
        <v>160</v>
      </c>
      <c r="I5">
        <v>1</v>
      </c>
      <c r="U5">
        <v>1</v>
      </c>
      <c r="Y5">
        <v>2</v>
      </c>
    </row>
    <row r="6" spans="1:25" x14ac:dyDescent="0.25">
      <c r="A6" t="s">
        <v>407</v>
      </c>
      <c r="B6" t="s">
        <v>160</v>
      </c>
      <c r="I6">
        <v>2</v>
      </c>
      <c r="P6">
        <v>2</v>
      </c>
      <c r="Q6">
        <v>5</v>
      </c>
      <c r="Y6">
        <v>9</v>
      </c>
    </row>
    <row r="7" spans="1:25" x14ac:dyDescent="0.25">
      <c r="A7" t="s">
        <v>410</v>
      </c>
      <c r="B7" t="s">
        <v>160</v>
      </c>
      <c r="I7">
        <v>5</v>
      </c>
      <c r="W7">
        <v>20</v>
      </c>
      <c r="Y7">
        <v>25</v>
      </c>
    </row>
    <row r="8" spans="1:25" x14ac:dyDescent="0.25">
      <c r="A8" t="s">
        <v>402</v>
      </c>
      <c r="B8" t="s">
        <v>160</v>
      </c>
      <c r="C8">
        <v>2</v>
      </c>
      <c r="D8">
        <v>5</v>
      </c>
      <c r="E8">
        <v>1</v>
      </c>
      <c r="F8">
        <v>3</v>
      </c>
      <c r="G8">
        <v>2</v>
      </c>
      <c r="H8">
        <v>4</v>
      </c>
      <c r="I8">
        <v>11</v>
      </c>
      <c r="K8">
        <v>2</v>
      </c>
      <c r="O8">
        <v>1</v>
      </c>
      <c r="P8">
        <v>1</v>
      </c>
      <c r="Q8">
        <v>1</v>
      </c>
      <c r="R8">
        <v>7</v>
      </c>
      <c r="S8">
        <v>8</v>
      </c>
      <c r="V8">
        <v>3</v>
      </c>
      <c r="Y8">
        <v>51</v>
      </c>
    </row>
    <row r="9" spans="1:25" x14ac:dyDescent="0.25">
      <c r="A9" t="s">
        <v>403</v>
      </c>
      <c r="B9" t="s">
        <v>160</v>
      </c>
      <c r="M9">
        <v>20</v>
      </c>
      <c r="N9">
        <v>20</v>
      </c>
      <c r="P9">
        <v>20</v>
      </c>
      <c r="Q9">
        <v>20</v>
      </c>
      <c r="R9">
        <v>20</v>
      </c>
      <c r="S9">
        <v>20</v>
      </c>
      <c r="T9">
        <v>20</v>
      </c>
      <c r="V9">
        <v>20</v>
      </c>
      <c r="X9">
        <v>30</v>
      </c>
      <c r="Y9">
        <v>190</v>
      </c>
    </row>
    <row r="10" spans="1:25" x14ac:dyDescent="0.25">
      <c r="A10" t="s">
        <v>404</v>
      </c>
      <c r="B10" t="s">
        <v>160</v>
      </c>
      <c r="Y10">
        <v>0</v>
      </c>
    </row>
    <row r="11" spans="1:25" x14ac:dyDescent="0.25">
      <c r="A11" t="s">
        <v>405</v>
      </c>
      <c r="B11" t="s">
        <v>160</v>
      </c>
      <c r="Y11">
        <v>0</v>
      </c>
    </row>
    <row r="12" spans="1:25" x14ac:dyDescent="0.25">
      <c r="A12" t="s">
        <v>408</v>
      </c>
      <c r="B12" t="s">
        <v>160</v>
      </c>
      <c r="Y12">
        <v>0</v>
      </c>
    </row>
    <row r="13" spans="1:25" x14ac:dyDescent="0.25">
      <c r="A13" t="s">
        <v>409</v>
      </c>
      <c r="B13" t="s">
        <v>160</v>
      </c>
      <c r="Y13">
        <v>0</v>
      </c>
    </row>
    <row r="14" spans="1:25" x14ac:dyDescent="0.25">
      <c r="A14" t="s">
        <v>411</v>
      </c>
      <c r="B14" t="s">
        <v>160</v>
      </c>
      <c r="Y14">
        <v>0</v>
      </c>
    </row>
    <row r="15" spans="1:25" x14ac:dyDescent="0.25">
      <c r="A15" t="s">
        <v>412</v>
      </c>
      <c r="B15" t="s">
        <v>160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B784-AD2D-4C05-B0C6-AB39F370FAAF}">
  <dimension ref="A1:H16"/>
  <sheetViews>
    <sheetView workbookViewId="0"/>
  </sheetViews>
  <sheetFormatPr defaultRowHeight="15" x14ac:dyDescent="0.25"/>
  <cols>
    <col min="1" max="1" width="22.28515625" bestFit="1" customWidth="1"/>
    <col min="2" max="2" width="52.28515625" bestFit="1" customWidth="1"/>
    <col min="3" max="3" width="29.7109375" bestFit="1" customWidth="1"/>
    <col min="4" max="4" width="43.5703125" bestFit="1" customWidth="1"/>
    <col min="5" max="5" width="33.5703125" bestFit="1" customWidth="1"/>
    <col min="6" max="6" width="28.7109375" bestFit="1" customWidth="1"/>
    <col min="7" max="7" width="27" bestFit="1" customWidth="1"/>
    <col min="8" max="8" width="32.85546875" bestFit="1" customWidth="1"/>
  </cols>
  <sheetData>
    <row r="1" spans="1:8" x14ac:dyDescent="0.25">
      <c r="A1" s="7" t="s">
        <v>414</v>
      </c>
    </row>
    <row r="3" spans="1:8" x14ac:dyDescent="0.25">
      <c r="A3" t="s">
        <v>384</v>
      </c>
      <c r="B3" t="s">
        <v>415</v>
      </c>
      <c r="C3" t="s">
        <v>416</v>
      </c>
      <c r="D3" t="s">
        <v>417</v>
      </c>
      <c r="E3" t="s">
        <v>418</v>
      </c>
      <c r="F3" t="s">
        <v>419</v>
      </c>
      <c r="G3" t="s">
        <v>420</v>
      </c>
      <c r="H3" t="s">
        <v>421</v>
      </c>
    </row>
    <row r="4" spans="1:8" x14ac:dyDescent="0.25">
      <c r="A4" t="s">
        <v>422</v>
      </c>
      <c r="B4" t="s">
        <v>423</v>
      </c>
      <c r="C4">
        <v>0</v>
      </c>
      <c r="D4">
        <v>19</v>
      </c>
      <c r="E4">
        <v>40</v>
      </c>
      <c r="F4">
        <v>6</v>
      </c>
      <c r="G4">
        <v>9</v>
      </c>
      <c r="H4">
        <v>1</v>
      </c>
    </row>
    <row r="5" spans="1:8" x14ac:dyDescent="0.25">
      <c r="A5" t="s">
        <v>412</v>
      </c>
      <c r="B5" t="s">
        <v>423</v>
      </c>
      <c r="C5">
        <v>0</v>
      </c>
      <c r="D5">
        <v>6</v>
      </c>
      <c r="E5">
        <v>24</v>
      </c>
      <c r="F5">
        <v>3</v>
      </c>
      <c r="G5">
        <v>4</v>
      </c>
      <c r="H5">
        <v>4</v>
      </c>
    </row>
    <row r="6" spans="1:8" x14ac:dyDescent="0.25">
      <c r="A6" t="s">
        <v>402</v>
      </c>
      <c r="B6" t="s">
        <v>423</v>
      </c>
      <c r="C6">
        <v>3</v>
      </c>
      <c r="D6">
        <v>12</v>
      </c>
      <c r="E6">
        <v>50</v>
      </c>
      <c r="F6">
        <v>11</v>
      </c>
      <c r="G6">
        <v>17</v>
      </c>
      <c r="H6">
        <v>32</v>
      </c>
    </row>
    <row r="7" spans="1:8" x14ac:dyDescent="0.25">
      <c r="A7" t="s">
        <v>401</v>
      </c>
      <c r="B7" t="s">
        <v>423</v>
      </c>
      <c r="C7">
        <v>10</v>
      </c>
      <c r="D7">
        <v>10</v>
      </c>
      <c r="E7">
        <v>71</v>
      </c>
      <c r="F7">
        <v>0</v>
      </c>
      <c r="G7">
        <v>0</v>
      </c>
      <c r="H7">
        <v>0</v>
      </c>
    </row>
    <row r="8" spans="1:8" x14ac:dyDescent="0.25">
      <c r="A8" t="s">
        <v>403</v>
      </c>
      <c r="B8" t="s">
        <v>423</v>
      </c>
      <c r="E8">
        <v>10</v>
      </c>
    </row>
    <row r="9" spans="1:8" x14ac:dyDescent="0.25">
      <c r="A9" t="s">
        <v>404</v>
      </c>
      <c r="B9" t="s">
        <v>423</v>
      </c>
      <c r="E9">
        <v>28</v>
      </c>
      <c r="F9">
        <v>5</v>
      </c>
      <c r="G9">
        <v>17</v>
      </c>
      <c r="H9">
        <v>33</v>
      </c>
    </row>
    <row r="10" spans="1:8" x14ac:dyDescent="0.25">
      <c r="A10" t="s">
        <v>405</v>
      </c>
      <c r="B10" t="s">
        <v>423</v>
      </c>
      <c r="E10">
        <v>1</v>
      </c>
    </row>
    <row r="11" spans="1:8" x14ac:dyDescent="0.25">
      <c r="A11" t="s">
        <v>406</v>
      </c>
      <c r="B11" t="s">
        <v>423</v>
      </c>
      <c r="E11">
        <v>4</v>
      </c>
      <c r="H11">
        <v>3</v>
      </c>
    </row>
    <row r="12" spans="1:8" x14ac:dyDescent="0.25">
      <c r="A12" t="s">
        <v>407</v>
      </c>
      <c r="B12" t="s">
        <v>423</v>
      </c>
      <c r="D12">
        <v>2</v>
      </c>
      <c r="E12">
        <v>11</v>
      </c>
      <c r="F12">
        <v>1</v>
      </c>
    </row>
    <row r="13" spans="1:8" x14ac:dyDescent="0.25">
      <c r="A13" t="s">
        <v>408</v>
      </c>
      <c r="B13" t="s">
        <v>423</v>
      </c>
      <c r="D13">
        <v>3</v>
      </c>
      <c r="E13">
        <v>21</v>
      </c>
      <c r="F13">
        <v>30</v>
      </c>
      <c r="H13">
        <v>24</v>
      </c>
    </row>
    <row r="14" spans="1:8" x14ac:dyDescent="0.25">
      <c r="A14" t="s">
        <v>409</v>
      </c>
      <c r="B14" t="s">
        <v>423</v>
      </c>
      <c r="E14">
        <v>19</v>
      </c>
      <c r="H14">
        <v>2</v>
      </c>
    </row>
    <row r="15" spans="1:8" x14ac:dyDescent="0.25">
      <c r="A15" t="s">
        <v>410</v>
      </c>
      <c r="B15" t="s">
        <v>423</v>
      </c>
      <c r="E15">
        <v>1</v>
      </c>
      <c r="F15">
        <v>4</v>
      </c>
      <c r="H15">
        <v>12</v>
      </c>
    </row>
    <row r="16" spans="1:8" x14ac:dyDescent="0.25">
      <c r="A16" t="s">
        <v>411</v>
      </c>
      <c r="B16" t="s">
        <v>423</v>
      </c>
      <c r="D16">
        <v>1</v>
      </c>
      <c r="E16">
        <v>6</v>
      </c>
      <c r="F16">
        <v>3</v>
      </c>
      <c r="H16">
        <v>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C912-3E3D-4CF2-94A0-679216147277}">
  <sheetPr>
    <pageSetUpPr fitToPage="1"/>
  </sheetPr>
  <dimension ref="A1:AA479"/>
  <sheetViews>
    <sheetView zoomScale="90" zoomScaleNormal="90" workbookViewId="0">
      <selection activeCell="A3" sqref="A3"/>
    </sheetView>
  </sheetViews>
  <sheetFormatPr defaultColWidth="8.7109375" defaultRowHeight="15" x14ac:dyDescent="0.25"/>
  <cols>
    <col min="1" max="1" width="42.85546875" style="9" bestFit="1" customWidth="1"/>
    <col min="2" max="2" width="64.28515625" style="10" customWidth="1"/>
    <col min="3" max="3" width="14.28515625" style="2" customWidth="1"/>
    <col min="4" max="4" width="16.28515625" style="12" customWidth="1"/>
    <col min="5" max="5" width="21.7109375" style="10" hidden="1" customWidth="1"/>
    <col min="6" max="6" width="17" style="11" bestFit="1" customWidth="1"/>
    <col min="7" max="7" width="15.7109375" style="11" bestFit="1" customWidth="1"/>
    <col min="8" max="8" width="9.85546875" style="36" hidden="1" customWidth="1"/>
    <col min="9" max="9" width="9.7109375" style="36" customWidth="1"/>
    <col min="10" max="14" width="9.7109375" style="36" hidden="1" customWidth="1"/>
    <col min="15" max="15" width="20" style="10" bestFit="1" customWidth="1"/>
    <col min="16" max="16" width="18.42578125" style="10" hidden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424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425</v>
      </c>
      <c r="B3" s="27" t="s">
        <v>227</v>
      </c>
      <c r="C3" s="27" t="s">
        <v>73</v>
      </c>
      <c r="D3" s="120" t="s">
        <v>228</v>
      </c>
      <c r="E3" s="27" t="s">
        <v>156</v>
      </c>
      <c r="F3" s="28" t="s">
        <v>229</v>
      </c>
      <c r="G3" s="28" t="s">
        <v>230</v>
      </c>
      <c r="H3" s="71" t="s">
        <v>231</v>
      </c>
      <c r="I3" s="71" t="s">
        <v>232</v>
      </c>
      <c r="J3" s="71" t="s">
        <v>233</v>
      </c>
      <c r="K3" s="71" t="s">
        <v>234</v>
      </c>
      <c r="L3" s="71" t="s">
        <v>235</v>
      </c>
      <c r="M3" s="71" t="s">
        <v>236</v>
      </c>
      <c r="N3" s="71" t="s">
        <v>237</v>
      </c>
      <c r="O3" s="27" t="s">
        <v>238</v>
      </c>
      <c r="P3" s="27" t="s">
        <v>239</v>
      </c>
      <c r="Q3" s="30" t="s">
        <v>240</v>
      </c>
      <c r="R3" s="30" t="s">
        <v>242</v>
      </c>
      <c r="S3" s="29" t="s">
        <v>246</v>
      </c>
      <c r="T3" s="29" t="s">
        <v>247</v>
      </c>
      <c r="U3" s="29" t="s">
        <v>13</v>
      </c>
      <c r="V3" s="29" t="s">
        <v>14</v>
      </c>
      <c r="W3" s="29" t="s">
        <v>248</v>
      </c>
      <c r="X3" s="29" t="s">
        <v>249</v>
      </c>
      <c r="Y3" s="29" t="s">
        <v>250</v>
      </c>
      <c r="Z3" s="29" t="s">
        <v>251</v>
      </c>
      <c r="AA3" s="29" t="s">
        <v>252</v>
      </c>
    </row>
    <row r="4" spans="1:27" s="103" customFormat="1" x14ac:dyDescent="0.25">
      <c r="A4" s="96"/>
      <c r="B4" s="299" t="s">
        <v>15</v>
      </c>
      <c r="C4" s="97" t="s">
        <v>87</v>
      </c>
      <c r="D4" s="97" t="s">
        <v>88</v>
      </c>
      <c r="E4" s="96"/>
      <c r="F4" s="99">
        <v>45600</v>
      </c>
      <c r="G4" s="99">
        <v>45604</v>
      </c>
      <c r="H4" s="102"/>
      <c r="I4" s="102">
        <v>0.54166666666666663</v>
      </c>
      <c r="J4" s="99"/>
      <c r="K4" s="99"/>
      <c r="L4" s="99"/>
      <c r="M4" s="99"/>
      <c r="N4" s="99"/>
      <c r="O4" s="96" t="s">
        <v>272</v>
      </c>
      <c r="P4" s="96"/>
      <c r="Q4" s="100">
        <v>45</v>
      </c>
      <c r="R4" s="300">
        <v>5</v>
      </c>
      <c r="S4" s="100"/>
      <c r="T4" s="100"/>
      <c r="U4" s="15"/>
      <c r="V4" s="15"/>
      <c r="W4" s="15"/>
      <c r="X4" s="96"/>
      <c r="Y4" s="69">
        <f ca="1">Table210[[#This Row],[End Date]]+2-TODAY()</f>
        <v>-171</v>
      </c>
      <c r="Z4" s="15">
        <f>IF(ISBLANK(Table210[[#This Row],[Roster Received By]]),1,0)</f>
        <v>1</v>
      </c>
      <c r="AA4" s="15">
        <f ca="1">IF(Table210[[#This Row],[Start Date]]&gt;TODAY(),1,)</f>
        <v>0</v>
      </c>
    </row>
    <row r="5" spans="1:27" s="103" customFormat="1" x14ac:dyDescent="0.25">
      <c r="A5" s="61"/>
      <c r="B5" s="299" t="s">
        <v>15</v>
      </c>
      <c r="C5" s="97" t="s">
        <v>87</v>
      </c>
      <c r="D5" s="97" t="s">
        <v>88</v>
      </c>
      <c r="E5" s="96"/>
      <c r="F5" s="99">
        <v>45635</v>
      </c>
      <c r="G5" s="99">
        <v>45639</v>
      </c>
      <c r="H5" s="105"/>
      <c r="I5" s="102">
        <v>0.33333333333333331</v>
      </c>
      <c r="J5" s="99"/>
      <c r="K5" s="99"/>
      <c r="L5" s="99"/>
      <c r="M5" s="99"/>
      <c r="N5" s="99"/>
      <c r="O5" s="96" t="s">
        <v>272</v>
      </c>
      <c r="P5" s="96"/>
      <c r="Q5" s="100">
        <v>45</v>
      </c>
      <c r="R5" s="300">
        <v>5</v>
      </c>
      <c r="S5" s="100"/>
      <c r="T5" s="100"/>
      <c r="U5" s="15"/>
      <c r="V5" s="15"/>
      <c r="W5" s="15"/>
      <c r="X5" s="96"/>
      <c r="Y5" s="69">
        <f ca="1">Table210[[#This Row],[End Date]]+2-TODAY()</f>
        <v>-136</v>
      </c>
      <c r="Z5" s="15">
        <f>IF(ISBLANK(Table210[[#This Row],[Roster Received By]]),1,0)</f>
        <v>1</v>
      </c>
      <c r="AA5" s="15">
        <f ca="1">IF(Table210[[#This Row],[Start Date]]&gt;TODAY(),1,)</f>
        <v>0</v>
      </c>
    </row>
    <row r="6" spans="1:27" s="103" customFormat="1" x14ac:dyDescent="0.25">
      <c r="A6" s="61"/>
      <c r="B6" s="299" t="s">
        <v>15</v>
      </c>
      <c r="C6" s="97" t="s">
        <v>87</v>
      </c>
      <c r="D6" s="97" t="s">
        <v>88</v>
      </c>
      <c r="E6" s="96"/>
      <c r="F6" s="99">
        <v>45670</v>
      </c>
      <c r="G6" s="99">
        <v>45674</v>
      </c>
      <c r="H6" s="105"/>
      <c r="I6" s="102">
        <v>0.54166666666666663</v>
      </c>
      <c r="J6" s="99"/>
      <c r="K6" s="99"/>
      <c r="L6" s="99"/>
      <c r="M6" s="99"/>
      <c r="N6" s="99"/>
      <c r="O6" s="96" t="s">
        <v>272</v>
      </c>
      <c r="P6" s="96"/>
      <c r="Q6" s="100">
        <v>45</v>
      </c>
      <c r="R6" s="300">
        <v>5</v>
      </c>
      <c r="S6" s="100"/>
      <c r="T6" s="100"/>
      <c r="U6" s="15"/>
      <c r="V6" s="15"/>
      <c r="W6" s="15"/>
      <c r="X6" s="96"/>
      <c r="Y6" s="69">
        <f ca="1">Table210[[#This Row],[End Date]]+2-TODAY()</f>
        <v>-101</v>
      </c>
      <c r="Z6" s="15">
        <f>IF(ISBLANK(Table210[[#This Row],[Roster Received By]]),1,0)</f>
        <v>1</v>
      </c>
      <c r="AA6" s="15">
        <f ca="1">IF(Table210[[#This Row],[Start Date]]&gt;TODAY(),1,)</f>
        <v>0</v>
      </c>
    </row>
    <row r="7" spans="1:27" s="103" customFormat="1" x14ac:dyDescent="0.25">
      <c r="A7" s="61"/>
      <c r="B7" s="299" t="s">
        <v>15</v>
      </c>
      <c r="C7" s="97" t="s">
        <v>87</v>
      </c>
      <c r="D7" s="97" t="s">
        <v>88</v>
      </c>
      <c r="E7" s="96"/>
      <c r="F7" s="99">
        <v>45698</v>
      </c>
      <c r="G7" s="99">
        <v>45702</v>
      </c>
      <c r="H7" s="105"/>
      <c r="I7" s="105">
        <v>0.33333333333333331</v>
      </c>
      <c r="J7" s="99"/>
      <c r="K7" s="99"/>
      <c r="L7" s="99"/>
      <c r="M7" s="99"/>
      <c r="N7" s="99"/>
      <c r="O7" s="96" t="s">
        <v>272</v>
      </c>
      <c r="P7" s="96"/>
      <c r="Q7" s="100">
        <v>45</v>
      </c>
      <c r="R7" s="300">
        <v>5</v>
      </c>
      <c r="S7" s="100"/>
      <c r="T7" s="100"/>
      <c r="U7" s="15"/>
      <c r="V7" s="15"/>
      <c r="W7" s="15"/>
      <c r="X7" s="96"/>
      <c r="Y7" s="69">
        <f ca="1">Table210[[#This Row],[End Date]]+2-TODAY()</f>
        <v>-73</v>
      </c>
      <c r="Z7" s="15">
        <f>IF(ISBLANK(Table210[[#This Row],[Roster Received By]]),1,0)</f>
        <v>1</v>
      </c>
      <c r="AA7" s="15">
        <f ca="1">IF(Table210[[#This Row],[Start Date]]&gt;TODAY(),1,)</f>
        <v>0</v>
      </c>
    </row>
    <row r="8" spans="1:27" s="103" customFormat="1" x14ac:dyDescent="0.25">
      <c r="A8" s="61"/>
      <c r="B8" s="299" t="s">
        <v>15</v>
      </c>
      <c r="C8" s="97" t="s">
        <v>87</v>
      </c>
      <c r="D8" s="97" t="s">
        <v>88</v>
      </c>
      <c r="E8" s="96"/>
      <c r="F8" s="99">
        <v>45789</v>
      </c>
      <c r="G8" s="99">
        <v>45793</v>
      </c>
      <c r="H8" s="102"/>
      <c r="I8" s="102">
        <v>0.54166666666666663</v>
      </c>
      <c r="J8" s="99"/>
      <c r="K8" s="99"/>
      <c r="L8" s="99"/>
      <c r="M8" s="99"/>
      <c r="N8" s="99"/>
      <c r="O8" s="96" t="s">
        <v>272</v>
      </c>
      <c r="P8" s="96"/>
      <c r="Q8" s="100">
        <v>45</v>
      </c>
      <c r="R8" s="300">
        <v>5</v>
      </c>
      <c r="S8" s="100"/>
      <c r="T8" s="100"/>
      <c r="U8" s="15"/>
      <c r="V8" s="15"/>
      <c r="W8" s="15"/>
      <c r="X8" s="96"/>
      <c r="Y8" s="69">
        <f ca="1">Table210[[#This Row],[End Date]]+2-TODAY()</f>
        <v>18</v>
      </c>
      <c r="Z8" s="15">
        <f>IF(ISBLANK(Table210[[#This Row],[Roster Received By]]),1,0)</f>
        <v>1</v>
      </c>
      <c r="AA8" s="15">
        <f ca="1">IF(Table210[[#This Row],[Start Date]]&gt;TODAY(),1,)</f>
        <v>1</v>
      </c>
    </row>
    <row r="9" spans="1:27" s="103" customFormat="1" x14ac:dyDescent="0.25">
      <c r="A9" s="61"/>
      <c r="B9" s="299" t="s">
        <v>15</v>
      </c>
      <c r="C9" s="97" t="s">
        <v>87</v>
      </c>
      <c r="D9" s="97" t="s">
        <v>88</v>
      </c>
      <c r="E9" s="96"/>
      <c r="F9" s="99">
        <v>45831</v>
      </c>
      <c r="G9" s="99">
        <v>45835</v>
      </c>
      <c r="H9" s="105"/>
      <c r="I9" s="105">
        <v>0.33333333333333331</v>
      </c>
      <c r="J9" s="99"/>
      <c r="K9" s="99"/>
      <c r="L9" s="99"/>
      <c r="M9" s="99"/>
      <c r="N9" s="99"/>
      <c r="O9" s="96" t="s">
        <v>272</v>
      </c>
      <c r="P9" s="96"/>
      <c r="Q9" s="100">
        <v>45</v>
      </c>
      <c r="R9" s="300">
        <v>5</v>
      </c>
      <c r="S9" s="100"/>
      <c r="T9" s="100"/>
      <c r="U9" s="15"/>
      <c r="V9" s="15"/>
      <c r="W9" s="15"/>
      <c r="X9" s="96"/>
      <c r="Y9" s="69">
        <f ca="1">Table210[[#This Row],[End Date]]+2-TODAY()</f>
        <v>60</v>
      </c>
      <c r="Z9" s="15">
        <f>IF(ISBLANK(Table210[[#This Row],[Roster Received By]]),1,0)</f>
        <v>1</v>
      </c>
      <c r="AA9" s="15">
        <f ca="1">IF(Table210[[#This Row],[Start Date]]&gt;TODAY(),1,)</f>
        <v>1</v>
      </c>
    </row>
    <row r="10" spans="1:27" s="103" customFormat="1" x14ac:dyDescent="0.25">
      <c r="A10" s="61"/>
      <c r="B10" s="299" t="s">
        <v>15</v>
      </c>
      <c r="C10" s="97" t="s">
        <v>87</v>
      </c>
      <c r="D10" s="97" t="s">
        <v>88</v>
      </c>
      <c r="E10" s="96"/>
      <c r="F10" s="99">
        <v>45859</v>
      </c>
      <c r="G10" s="99">
        <v>45863</v>
      </c>
      <c r="H10" s="105"/>
      <c r="I10" s="105">
        <v>0.33333333333333331</v>
      </c>
      <c r="J10" s="99"/>
      <c r="K10" s="99"/>
      <c r="L10" s="99"/>
      <c r="M10" s="99"/>
      <c r="N10" s="99"/>
      <c r="O10" s="96" t="s">
        <v>272</v>
      </c>
      <c r="P10" s="96"/>
      <c r="Q10" s="100">
        <v>45</v>
      </c>
      <c r="R10" s="300">
        <v>5</v>
      </c>
      <c r="S10" s="100"/>
      <c r="T10" s="100"/>
      <c r="U10" s="15"/>
      <c r="V10" s="15"/>
      <c r="W10" s="97"/>
      <c r="X10" s="96"/>
      <c r="Y10" s="69">
        <f ca="1">Table210[[#This Row],[End Date]]+2-TODAY()</f>
        <v>88</v>
      </c>
      <c r="Z10" s="15">
        <f>IF(ISBLANK(Table210[[#This Row],[Roster Received By]]),1,0)</f>
        <v>1</v>
      </c>
      <c r="AA10" s="15">
        <f ca="1">IF(Table210[[#This Row],[Start Date]]&gt;TODAY(),1,)</f>
        <v>1</v>
      </c>
    </row>
    <row r="11" spans="1:27" s="103" customFormat="1" x14ac:dyDescent="0.25">
      <c r="A11" s="61"/>
      <c r="B11" s="299" t="s">
        <v>15</v>
      </c>
      <c r="C11" s="97" t="s">
        <v>87</v>
      </c>
      <c r="D11" s="97" t="s">
        <v>88</v>
      </c>
      <c r="E11" s="96"/>
      <c r="F11" s="99">
        <v>45873</v>
      </c>
      <c r="G11" s="99">
        <v>45877</v>
      </c>
      <c r="H11" s="105"/>
      <c r="I11" s="105">
        <v>0.54166666666666663</v>
      </c>
      <c r="J11" s="99"/>
      <c r="K11" s="99"/>
      <c r="L11" s="99"/>
      <c r="M11" s="99"/>
      <c r="N11" s="99"/>
      <c r="O11" s="96" t="s">
        <v>272</v>
      </c>
      <c r="P11" s="96"/>
      <c r="Q11" s="100">
        <v>45</v>
      </c>
      <c r="R11" s="300">
        <v>5</v>
      </c>
      <c r="S11" s="100"/>
      <c r="T11" s="100"/>
      <c r="U11" s="15"/>
      <c r="V11" s="15"/>
      <c r="W11" s="97"/>
      <c r="X11" s="96"/>
      <c r="Y11" s="69">
        <f ca="1">Table210[[#This Row],[End Date]]+2-TODAY()</f>
        <v>102</v>
      </c>
      <c r="Z11" s="15">
        <f>IF(ISBLANK(Table210[[#This Row],[Roster Received By]]),1,0)</f>
        <v>1</v>
      </c>
      <c r="AA11" s="15">
        <f ca="1">IF(Table210[[#This Row],[Start Date]]&gt;TODAY(),1,)</f>
        <v>1</v>
      </c>
    </row>
    <row r="12" spans="1:27" s="103" customFormat="1" x14ac:dyDescent="0.25">
      <c r="A12" s="61"/>
      <c r="B12" s="96" t="s">
        <v>37</v>
      </c>
      <c r="C12" s="97" t="s">
        <v>101</v>
      </c>
      <c r="D12" s="97" t="s">
        <v>102</v>
      </c>
      <c r="E12" s="96"/>
      <c r="F12" s="99">
        <v>45613</v>
      </c>
      <c r="G12" s="99">
        <v>45617</v>
      </c>
      <c r="H12" s="102"/>
      <c r="I12" s="102">
        <v>0.79166666666666663</v>
      </c>
      <c r="J12" s="99"/>
      <c r="K12" s="99"/>
      <c r="L12" s="99"/>
      <c r="M12" s="99"/>
      <c r="N12" s="99"/>
      <c r="O12" s="96" t="s">
        <v>426</v>
      </c>
      <c r="P12" s="96"/>
      <c r="Q12" s="100">
        <v>45</v>
      </c>
      <c r="R12" s="300">
        <v>5</v>
      </c>
      <c r="S12" s="100"/>
      <c r="T12" s="100"/>
      <c r="U12" s="15"/>
      <c r="V12" s="15"/>
      <c r="W12" s="97"/>
      <c r="X12" s="96"/>
      <c r="Y12" s="69">
        <f ca="1">Table210[[#This Row],[End Date]]+2-TODAY()</f>
        <v>-158</v>
      </c>
      <c r="Z12" s="15">
        <f>IF(ISBLANK(Table210[[#This Row],[Roster Received By]]),1,0)</f>
        <v>1</v>
      </c>
      <c r="AA12" s="15">
        <f ca="1">IF(Table210[[#This Row],[Start Date]]&gt;TODAY(),1,)</f>
        <v>0</v>
      </c>
    </row>
    <row r="13" spans="1:27" s="103" customFormat="1" x14ac:dyDescent="0.25">
      <c r="A13" s="61"/>
      <c r="B13" s="96" t="s">
        <v>37</v>
      </c>
      <c r="C13" s="97" t="s">
        <v>101</v>
      </c>
      <c r="D13" s="97" t="s">
        <v>102</v>
      </c>
      <c r="E13" s="96"/>
      <c r="F13" s="99">
        <v>45635</v>
      </c>
      <c r="G13" s="99">
        <v>45639</v>
      </c>
      <c r="H13" s="105"/>
      <c r="I13" s="102">
        <v>0.33333333333333331</v>
      </c>
      <c r="J13" s="99"/>
      <c r="K13" s="99"/>
      <c r="L13" s="99"/>
      <c r="M13" s="99"/>
      <c r="N13" s="99"/>
      <c r="O13" s="96" t="s">
        <v>426</v>
      </c>
      <c r="P13" s="96"/>
      <c r="Q13" s="100">
        <v>45</v>
      </c>
      <c r="R13" s="300">
        <v>5</v>
      </c>
      <c r="S13" s="100"/>
      <c r="T13" s="100"/>
      <c r="U13" s="15"/>
      <c r="V13" s="15"/>
      <c r="W13" s="15"/>
      <c r="X13" s="96"/>
      <c r="Y13" s="69">
        <f ca="1">Table210[[#This Row],[End Date]]+2-TODAY()</f>
        <v>-136</v>
      </c>
      <c r="Z13" s="15">
        <f>IF(ISBLANK(Table210[[#This Row],[Roster Received By]]),1,0)</f>
        <v>1</v>
      </c>
      <c r="AA13" s="15">
        <f ca="1">IF(Table210[[#This Row],[Start Date]]&gt;TODAY(),1,)</f>
        <v>0</v>
      </c>
    </row>
    <row r="14" spans="1:27" s="103" customFormat="1" x14ac:dyDescent="0.25">
      <c r="A14" s="61"/>
      <c r="B14" s="96" t="s">
        <v>37</v>
      </c>
      <c r="C14" s="97" t="s">
        <v>101</v>
      </c>
      <c r="D14" s="97" t="s">
        <v>102</v>
      </c>
      <c r="E14" s="96"/>
      <c r="F14" s="99">
        <v>45670</v>
      </c>
      <c r="G14" s="99">
        <v>45674</v>
      </c>
      <c r="H14" s="105"/>
      <c r="I14" s="102">
        <v>0.54166666666666663</v>
      </c>
      <c r="J14" s="99"/>
      <c r="K14" s="99"/>
      <c r="L14" s="99"/>
      <c r="M14" s="99"/>
      <c r="N14" s="99"/>
      <c r="O14" s="96" t="s">
        <v>426</v>
      </c>
      <c r="P14" s="96"/>
      <c r="Q14" s="100">
        <v>45</v>
      </c>
      <c r="R14" s="300">
        <v>5</v>
      </c>
      <c r="S14" s="100"/>
      <c r="T14" s="100"/>
      <c r="U14" s="15"/>
      <c r="V14" s="15"/>
      <c r="W14" s="15"/>
      <c r="X14" s="96"/>
      <c r="Y14" s="69">
        <f ca="1">Table210[[#This Row],[End Date]]+2-TODAY()</f>
        <v>-101</v>
      </c>
      <c r="Z14" s="15">
        <f>IF(ISBLANK(Table210[[#This Row],[Roster Received By]]),1,0)</f>
        <v>1</v>
      </c>
      <c r="AA14" s="15">
        <f ca="1">IF(Table210[[#This Row],[Start Date]]&gt;TODAY(),1,)</f>
        <v>0</v>
      </c>
    </row>
    <row r="15" spans="1:27" s="103" customFormat="1" x14ac:dyDescent="0.25">
      <c r="A15" s="61"/>
      <c r="B15" s="96" t="s">
        <v>37</v>
      </c>
      <c r="C15" s="97" t="s">
        <v>101</v>
      </c>
      <c r="D15" s="97" t="s">
        <v>102</v>
      </c>
      <c r="E15" s="96"/>
      <c r="F15" s="99">
        <v>45691</v>
      </c>
      <c r="G15" s="99">
        <v>45695</v>
      </c>
      <c r="H15" s="105"/>
      <c r="I15" s="105">
        <v>0.33333333333333331</v>
      </c>
      <c r="J15" s="99"/>
      <c r="K15" s="99"/>
      <c r="L15" s="99"/>
      <c r="M15" s="99"/>
      <c r="N15" s="99"/>
      <c r="O15" s="96" t="s">
        <v>426</v>
      </c>
      <c r="P15" s="96"/>
      <c r="Q15" s="100">
        <v>45</v>
      </c>
      <c r="R15" s="300">
        <v>5</v>
      </c>
      <c r="S15" s="100"/>
      <c r="T15" s="100"/>
      <c r="U15" s="15"/>
      <c r="V15" s="15"/>
      <c r="W15" s="15"/>
      <c r="X15" s="96"/>
      <c r="Y15" s="69">
        <f ca="1">Table210[[#This Row],[End Date]]+2-TODAY()</f>
        <v>-80</v>
      </c>
      <c r="Z15" s="15">
        <f>IF(ISBLANK(Table210[[#This Row],[Roster Received By]]),1,0)</f>
        <v>1</v>
      </c>
      <c r="AA15" s="15">
        <f ca="1">IF(Table210[[#This Row],[Start Date]]&gt;TODAY(),1,)</f>
        <v>0</v>
      </c>
    </row>
    <row r="16" spans="1:27" s="103" customFormat="1" x14ac:dyDescent="0.25">
      <c r="A16" s="61"/>
      <c r="B16" s="96" t="s">
        <v>37</v>
      </c>
      <c r="C16" s="97" t="s">
        <v>101</v>
      </c>
      <c r="D16" s="97" t="s">
        <v>102</v>
      </c>
      <c r="E16" s="96"/>
      <c r="F16" s="99">
        <v>45739</v>
      </c>
      <c r="G16" s="99">
        <v>45743</v>
      </c>
      <c r="H16" s="102"/>
      <c r="I16" s="102">
        <v>0.79166666666666663</v>
      </c>
      <c r="J16" s="99"/>
      <c r="K16" s="99"/>
      <c r="L16" s="99"/>
      <c r="M16" s="99"/>
      <c r="N16" s="99"/>
      <c r="O16" s="96" t="s">
        <v>426</v>
      </c>
      <c r="P16" s="96"/>
      <c r="Q16" s="100">
        <v>45</v>
      </c>
      <c r="R16" s="300">
        <v>5</v>
      </c>
      <c r="S16" s="100"/>
      <c r="T16" s="100"/>
      <c r="U16" s="15"/>
      <c r="V16" s="15"/>
      <c r="W16" s="15"/>
      <c r="X16" s="96"/>
      <c r="Y16" s="69">
        <f ca="1">Table210[[#This Row],[End Date]]+2-TODAY()</f>
        <v>-32</v>
      </c>
      <c r="Z16" s="15">
        <f>IF(ISBLANK(Table210[[#This Row],[Roster Received By]]),1,0)</f>
        <v>1</v>
      </c>
      <c r="AA16" s="15">
        <f ca="1">IF(Table210[[#This Row],[Start Date]]&gt;TODAY(),1,)</f>
        <v>0</v>
      </c>
    </row>
    <row r="17" spans="1:27" s="103" customFormat="1" x14ac:dyDescent="0.25">
      <c r="A17" s="61"/>
      <c r="B17" s="96" t="s">
        <v>37</v>
      </c>
      <c r="C17" s="97" t="s">
        <v>101</v>
      </c>
      <c r="D17" s="97" t="s">
        <v>102</v>
      </c>
      <c r="E17" s="96"/>
      <c r="F17" s="99">
        <v>45775</v>
      </c>
      <c r="G17" s="99">
        <v>45779</v>
      </c>
      <c r="H17" s="102"/>
      <c r="I17" s="102">
        <v>0.54166666666666663</v>
      </c>
      <c r="J17" s="99"/>
      <c r="K17" s="99"/>
      <c r="L17" s="99"/>
      <c r="M17" s="99"/>
      <c r="N17" s="99"/>
      <c r="O17" s="96" t="s">
        <v>426</v>
      </c>
      <c r="P17" s="96"/>
      <c r="Q17" s="100">
        <v>45</v>
      </c>
      <c r="R17" s="300">
        <v>5</v>
      </c>
      <c r="S17" s="100"/>
      <c r="T17" s="100"/>
      <c r="U17" s="15"/>
      <c r="V17" s="15"/>
      <c r="W17" s="15"/>
      <c r="X17" s="96"/>
      <c r="Y17" s="69">
        <f ca="1">Table210[[#This Row],[End Date]]+2-TODAY()</f>
        <v>4</v>
      </c>
      <c r="Z17" s="15">
        <f>IF(ISBLANK(Table210[[#This Row],[Roster Received By]]),1,0)</f>
        <v>1</v>
      </c>
      <c r="AA17" s="15">
        <f ca="1">IF(Table210[[#This Row],[Start Date]]&gt;TODAY(),1,)</f>
        <v>0</v>
      </c>
    </row>
    <row r="18" spans="1:27" s="103" customFormat="1" x14ac:dyDescent="0.25">
      <c r="A18" s="61"/>
      <c r="B18" s="96" t="s">
        <v>37</v>
      </c>
      <c r="C18" s="97" t="s">
        <v>101</v>
      </c>
      <c r="D18" s="97" t="s">
        <v>102</v>
      </c>
      <c r="E18" s="96"/>
      <c r="F18" s="99">
        <v>45796</v>
      </c>
      <c r="G18" s="99">
        <v>45800</v>
      </c>
      <c r="H18" s="102"/>
      <c r="I18" s="102">
        <v>0.33333333333333331</v>
      </c>
      <c r="J18" s="99"/>
      <c r="K18" s="99"/>
      <c r="L18" s="99"/>
      <c r="M18" s="99"/>
      <c r="N18" s="99"/>
      <c r="O18" s="96" t="s">
        <v>426</v>
      </c>
      <c r="P18" s="96"/>
      <c r="Q18" s="100">
        <v>45</v>
      </c>
      <c r="R18" s="300">
        <v>5</v>
      </c>
      <c r="S18" s="100"/>
      <c r="T18" s="100"/>
      <c r="U18" s="15"/>
      <c r="V18" s="15"/>
      <c r="W18" s="15"/>
      <c r="X18" s="96"/>
      <c r="Y18" s="69">
        <f ca="1">Table210[[#This Row],[End Date]]+2-TODAY()</f>
        <v>25</v>
      </c>
      <c r="Z18" s="15">
        <f>IF(ISBLANK(Table210[[#This Row],[Roster Received By]]),1,0)</f>
        <v>1</v>
      </c>
      <c r="AA18" s="15">
        <f ca="1">IF(Table210[[#This Row],[Start Date]]&gt;TODAY(),1,)</f>
        <v>1</v>
      </c>
    </row>
    <row r="19" spans="1:27" s="132" customFormat="1" x14ac:dyDescent="0.25">
      <c r="A19" s="61"/>
      <c r="B19" s="96" t="s">
        <v>37</v>
      </c>
      <c r="C19" s="97" t="s">
        <v>101</v>
      </c>
      <c r="D19" s="97" t="s">
        <v>102</v>
      </c>
      <c r="E19" s="96"/>
      <c r="F19" s="99">
        <v>45830</v>
      </c>
      <c r="G19" s="99">
        <v>45834</v>
      </c>
      <c r="H19" s="105"/>
      <c r="I19" s="105">
        <v>0.79166666666666663</v>
      </c>
      <c r="J19" s="99"/>
      <c r="K19" s="99"/>
      <c r="L19" s="99"/>
      <c r="M19" s="99"/>
      <c r="N19" s="99"/>
      <c r="O19" s="96" t="s">
        <v>426</v>
      </c>
      <c r="P19" s="96"/>
      <c r="Q19" s="100">
        <v>45</v>
      </c>
      <c r="R19" s="300">
        <v>5</v>
      </c>
      <c r="S19" s="100"/>
      <c r="T19" s="100"/>
      <c r="U19" s="15"/>
      <c r="V19" s="15"/>
      <c r="W19" s="15"/>
      <c r="X19" s="96"/>
      <c r="Y19" s="69">
        <f ca="1">Table210[[#This Row],[End Date]]+2-TODAY()</f>
        <v>59</v>
      </c>
      <c r="Z19" s="15">
        <f>IF(ISBLANK(Table210[[#This Row],[Roster Received By]]),1,0)</f>
        <v>1</v>
      </c>
      <c r="AA19" s="15">
        <f ca="1">IF(Table210[[#This Row],[Start Date]]&gt;TODAY(),1,)</f>
        <v>1</v>
      </c>
    </row>
    <row r="20" spans="1:27" s="132" customFormat="1" x14ac:dyDescent="0.25">
      <c r="A20" s="61"/>
      <c r="B20" s="96" t="s">
        <v>37</v>
      </c>
      <c r="C20" s="97" t="s">
        <v>101</v>
      </c>
      <c r="D20" s="97" t="s">
        <v>102</v>
      </c>
      <c r="E20" s="96"/>
      <c r="F20" s="99">
        <v>45852</v>
      </c>
      <c r="G20" s="99">
        <v>45856</v>
      </c>
      <c r="H20" s="105"/>
      <c r="I20" s="105">
        <v>0.54166666666666663</v>
      </c>
      <c r="J20" s="99"/>
      <c r="K20" s="99"/>
      <c r="L20" s="99"/>
      <c r="M20" s="99"/>
      <c r="N20" s="99"/>
      <c r="O20" s="96" t="s">
        <v>426</v>
      </c>
      <c r="P20" s="96"/>
      <c r="Q20" s="100">
        <v>45</v>
      </c>
      <c r="R20" s="300">
        <v>5</v>
      </c>
      <c r="S20" s="100"/>
      <c r="T20" s="100"/>
      <c r="U20" s="15"/>
      <c r="V20" s="15"/>
      <c r="W20" s="97"/>
      <c r="X20" s="96"/>
      <c r="Y20" s="69">
        <f ca="1">Table210[[#This Row],[End Date]]+2-TODAY()</f>
        <v>81</v>
      </c>
      <c r="Z20" s="15">
        <f>IF(ISBLANK(Table210[[#This Row],[Roster Received By]]),1,0)</f>
        <v>1</v>
      </c>
      <c r="AA20" s="15">
        <f ca="1">IF(Table210[[#This Row],[Start Date]]&gt;TODAY(),1,)</f>
        <v>1</v>
      </c>
    </row>
    <row r="21" spans="1:27" s="132" customFormat="1" x14ac:dyDescent="0.25">
      <c r="A21" s="61"/>
      <c r="B21" s="96" t="s">
        <v>37</v>
      </c>
      <c r="C21" s="97" t="s">
        <v>101</v>
      </c>
      <c r="D21" s="97" t="s">
        <v>102</v>
      </c>
      <c r="E21" s="96"/>
      <c r="F21" s="99">
        <v>45880</v>
      </c>
      <c r="G21" s="99">
        <v>45884</v>
      </c>
      <c r="H21" s="105"/>
      <c r="I21" s="105">
        <v>0.33333333333333331</v>
      </c>
      <c r="J21" s="99"/>
      <c r="K21" s="99"/>
      <c r="L21" s="99"/>
      <c r="M21" s="99"/>
      <c r="N21" s="99"/>
      <c r="O21" s="96" t="s">
        <v>426</v>
      </c>
      <c r="P21" s="96"/>
      <c r="Q21" s="100">
        <v>45</v>
      </c>
      <c r="R21" s="300">
        <v>5</v>
      </c>
      <c r="S21" s="100"/>
      <c r="T21" s="100"/>
      <c r="U21" s="15"/>
      <c r="V21" s="15"/>
      <c r="W21" s="97"/>
      <c r="X21" s="96"/>
      <c r="Y21" s="69">
        <f ca="1">Table210[[#This Row],[End Date]]+2-TODAY()</f>
        <v>109</v>
      </c>
      <c r="Z21" s="15">
        <f>IF(ISBLANK(Table210[[#This Row],[Roster Received By]]),1,0)</f>
        <v>1</v>
      </c>
      <c r="AA21" s="15">
        <f ca="1">IF(Table210[[#This Row],[Start Date]]&gt;TODAY(),1,)</f>
        <v>1</v>
      </c>
    </row>
    <row r="22" spans="1:27" s="132" customFormat="1" x14ac:dyDescent="0.25">
      <c r="A22" s="61"/>
      <c r="B22" s="96" t="s">
        <v>37</v>
      </c>
      <c r="C22" s="97" t="s">
        <v>101</v>
      </c>
      <c r="D22" s="97" t="s">
        <v>102</v>
      </c>
      <c r="E22" s="96"/>
      <c r="F22" s="99">
        <v>45921</v>
      </c>
      <c r="G22" s="99">
        <v>45925</v>
      </c>
      <c r="H22" s="99"/>
      <c r="I22" s="98">
        <v>0.79166666666666663</v>
      </c>
      <c r="J22" s="102"/>
      <c r="K22" s="102"/>
      <c r="L22" s="102"/>
      <c r="M22" s="102"/>
      <c r="N22" s="102"/>
      <c r="O22" s="96" t="s">
        <v>426</v>
      </c>
      <c r="P22" s="96"/>
      <c r="Q22" s="15">
        <v>45</v>
      </c>
      <c r="R22" s="211">
        <v>5</v>
      </c>
      <c r="S22" s="15"/>
      <c r="T22" s="100"/>
      <c r="U22" s="15"/>
      <c r="V22" s="15"/>
      <c r="W22" s="97"/>
      <c r="X22" s="96"/>
      <c r="Y22" s="69">
        <f ca="1">Table210[[#This Row],[End Date]]+2-TODAY()</f>
        <v>150</v>
      </c>
      <c r="Z22" s="15">
        <f>IF(ISBLANK(Table210[[#This Row],[Roster Received By]]),1,0)</f>
        <v>1</v>
      </c>
      <c r="AA22" s="15">
        <f ca="1">IF(Table210[[#This Row],[Start Date]]&gt;TODAY(),1,)</f>
        <v>1</v>
      </c>
    </row>
    <row r="23" spans="1:27" s="132" customFormat="1" x14ac:dyDescent="0.25">
      <c r="A23" s="148" t="s">
        <v>427</v>
      </c>
      <c r="B23" s="149" t="s">
        <v>361</v>
      </c>
      <c r="C23" s="150" t="s">
        <v>362</v>
      </c>
      <c r="D23" s="150" t="s">
        <v>362</v>
      </c>
      <c r="E23" s="149" t="s">
        <v>198</v>
      </c>
      <c r="F23" s="151">
        <v>45576</v>
      </c>
      <c r="G23" s="151">
        <v>45576</v>
      </c>
      <c r="H23" s="151"/>
      <c r="I23" s="152"/>
      <c r="J23" s="154"/>
      <c r="K23" s="154"/>
      <c r="L23" s="154"/>
      <c r="M23" s="154"/>
      <c r="N23" s="154"/>
      <c r="O23" s="149"/>
      <c r="P23" s="149"/>
      <c r="Q23" s="153">
        <v>0</v>
      </c>
      <c r="R23" s="153">
        <v>0</v>
      </c>
      <c r="S23" s="15"/>
      <c r="T23" s="100"/>
      <c r="U23" s="15"/>
      <c r="V23" s="15"/>
      <c r="W23" s="15"/>
      <c r="X23" s="96"/>
      <c r="Y23" s="69">
        <f ca="1">Table210[[#This Row],[End Date]]+2-TODAY()</f>
        <v>-199</v>
      </c>
      <c r="Z23" s="15">
        <f>IF(ISBLANK(Table210[[#This Row],[Roster Received By]]),1,0)</f>
        <v>1</v>
      </c>
      <c r="AA23" s="15">
        <f ca="1">IF(Table210[[#This Row],[Start Date]]&gt;TODAY(),1,)</f>
        <v>0</v>
      </c>
    </row>
    <row r="24" spans="1:27" s="132" customFormat="1" x14ac:dyDescent="0.25">
      <c r="A24" s="148" t="s">
        <v>428</v>
      </c>
      <c r="B24" s="149" t="s">
        <v>361</v>
      </c>
      <c r="C24" s="150" t="s">
        <v>362</v>
      </c>
      <c r="D24" s="150" t="s">
        <v>362</v>
      </c>
      <c r="E24" s="149" t="s">
        <v>198</v>
      </c>
      <c r="F24" s="151">
        <v>45621</v>
      </c>
      <c r="G24" s="151">
        <v>45621</v>
      </c>
      <c r="H24" s="154"/>
      <c r="I24" s="154"/>
      <c r="J24" s="151"/>
      <c r="K24" s="151"/>
      <c r="L24" s="151"/>
      <c r="M24" s="151"/>
      <c r="N24" s="151"/>
      <c r="O24" s="149"/>
      <c r="P24" s="149"/>
      <c r="Q24" s="153">
        <v>0</v>
      </c>
      <c r="R24" s="153">
        <v>0</v>
      </c>
      <c r="S24" s="153"/>
      <c r="T24" s="178"/>
      <c r="U24" s="153"/>
      <c r="V24" s="153"/>
      <c r="W24" s="150"/>
      <c r="X24" s="149"/>
      <c r="Y24" s="179">
        <f ca="1">Table210[[#This Row],[End Date]]+2-TODAY()</f>
        <v>-154</v>
      </c>
      <c r="Z24" s="153">
        <f>IF(ISBLANK(Table210[[#This Row],[Roster Received By]]),1,0)</f>
        <v>1</v>
      </c>
      <c r="AA24" s="153">
        <f ca="1">IF(Table210[[#This Row],[Start Date]]&gt;TODAY(),1,)</f>
        <v>0</v>
      </c>
    </row>
    <row r="25" spans="1:27" s="132" customFormat="1" x14ac:dyDescent="0.25">
      <c r="A25" s="148" t="s">
        <v>429</v>
      </c>
      <c r="B25" s="149" t="s">
        <v>361</v>
      </c>
      <c r="C25" s="150" t="s">
        <v>362</v>
      </c>
      <c r="D25" s="150" t="s">
        <v>362</v>
      </c>
      <c r="E25" s="149" t="s">
        <v>198</v>
      </c>
      <c r="F25" s="151">
        <v>45642</v>
      </c>
      <c r="G25" s="151">
        <v>45642</v>
      </c>
      <c r="H25" s="151"/>
      <c r="I25" s="152"/>
      <c r="J25" s="154"/>
      <c r="K25" s="154"/>
      <c r="L25" s="154"/>
      <c r="M25" s="154"/>
      <c r="N25" s="154"/>
      <c r="O25" s="149"/>
      <c r="P25" s="149"/>
      <c r="Q25" s="153">
        <v>0</v>
      </c>
      <c r="R25" s="153">
        <v>0</v>
      </c>
      <c r="S25" s="153"/>
      <c r="T25" s="178"/>
      <c r="U25" s="153"/>
      <c r="V25" s="153"/>
      <c r="W25" s="153"/>
      <c r="X25" s="149"/>
      <c r="Y25" s="179">
        <f ca="1">Table210[[#This Row],[End Date]]+2-TODAY()</f>
        <v>-133</v>
      </c>
      <c r="Z25" s="153">
        <f>IF(ISBLANK(Table210[[#This Row],[Roster Received By]]),1,0)</f>
        <v>1</v>
      </c>
      <c r="AA25" s="153">
        <f ca="1">IF(Table210[[#This Row],[Start Date]]&gt;TODAY(),1,)</f>
        <v>0</v>
      </c>
    </row>
    <row r="26" spans="1:27" s="132" customFormat="1" x14ac:dyDescent="0.25">
      <c r="A26" s="148" t="s">
        <v>430</v>
      </c>
      <c r="B26" s="149" t="s">
        <v>361</v>
      </c>
      <c r="C26" s="150" t="s">
        <v>362</v>
      </c>
      <c r="D26" s="150" t="s">
        <v>362</v>
      </c>
      <c r="E26" s="149" t="s">
        <v>198</v>
      </c>
      <c r="F26" s="151">
        <v>45688</v>
      </c>
      <c r="G26" s="151">
        <v>45688</v>
      </c>
      <c r="H26" s="180"/>
      <c r="I26" s="180"/>
      <c r="J26" s="151"/>
      <c r="K26" s="151"/>
      <c r="L26" s="151"/>
      <c r="M26" s="151"/>
      <c r="N26" s="151"/>
      <c r="O26" s="149"/>
      <c r="P26" s="149"/>
      <c r="Q26" s="153">
        <v>0</v>
      </c>
      <c r="R26" s="153">
        <v>0</v>
      </c>
      <c r="S26" s="153"/>
      <c r="T26" s="178"/>
      <c r="U26" s="153"/>
      <c r="V26" s="153"/>
      <c r="W26" s="153"/>
      <c r="X26" s="149"/>
      <c r="Y26" s="179">
        <f ca="1">Table210[[#This Row],[End Date]]+2-TODAY()</f>
        <v>-87</v>
      </c>
      <c r="Z26" s="153">
        <f>IF(ISBLANK(Table210[[#This Row],[Roster Received By]]),1,0)</f>
        <v>1</v>
      </c>
      <c r="AA26" s="153">
        <f ca="1">IF(Table210[[#This Row],[Start Date]]&gt;TODAY(),1,)</f>
        <v>0</v>
      </c>
    </row>
    <row r="27" spans="1:27" s="103" customFormat="1" ht="14.25" customHeight="1" x14ac:dyDescent="0.25">
      <c r="A27" s="148" t="s">
        <v>431</v>
      </c>
      <c r="B27" s="149" t="s">
        <v>361</v>
      </c>
      <c r="C27" s="150" t="s">
        <v>362</v>
      </c>
      <c r="D27" s="150" t="s">
        <v>362</v>
      </c>
      <c r="E27" s="149" t="s">
        <v>198</v>
      </c>
      <c r="F27" s="151">
        <v>45758</v>
      </c>
      <c r="G27" s="151">
        <v>45758</v>
      </c>
      <c r="H27" s="151"/>
      <c r="I27" s="152"/>
      <c r="J27" s="154"/>
      <c r="K27" s="154"/>
      <c r="L27" s="154"/>
      <c r="M27" s="154"/>
      <c r="N27" s="154"/>
      <c r="O27" s="149"/>
      <c r="P27" s="149"/>
      <c r="Q27" s="153">
        <v>0</v>
      </c>
      <c r="R27" s="153">
        <v>0</v>
      </c>
      <c r="S27" s="153"/>
      <c r="T27" s="178"/>
      <c r="U27" s="153"/>
      <c r="V27" s="153"/>
      <c r="W27" s="153"/>
      <c r="X27" s="149"/>
      <c r="Y27" s="179">
        <f ca="1">Table210[[#This Row],[End Date]]+2-TODAY()</f>
        <v>-17</v>
      </c>
      <c r="Z27" s="153">
        <f>IF(ISBLANK(Table210[[#This Row],[Roster Received By]]),1,0)</f>
        <v>1</v>
      </c>
      <c r="AA27" s="153">
        <f ca="1">IF(Table210[[#This Row],[Start Date]]&gt;TODAY(),1,)</f>
        <v>0</v>
      </c>
    </row>
    <row r="28" spans="1:27" s="103" customFormat="1" ht="14.25" customHeight="1" x14ac:dyDescent="0.25">
      <c r="A28" s="148" t="s">
        <v>432</v>
      </c>
      <c r="B28" s="149" t="s">
        <v>361</v>
      </c>
      <c r="C28" s="150" t="s">
        <v>362</v>
      </c>
      <c r="D28" s="150" t="s">
        <v>362</v>
      </c>
      <c r="E28" s="149" t="s">
        <v>198</v>
      </c>
      <c r="F28" s="151">
        <v>45839</v>
      </c>
      <c r="G28" s="151">
        <v>45839</v>
      </c>
      <c r="H28" s="154"/>
      <c r="I28" s="154"/>
      <c r="J28" s="154"/>
      <c r="K28" s="154"/>
      <c r="L28" s="154"/>
      <c r="M28" s="154"/>
      <c r="N28" s="154"/>
      <c r="O28" s="149"/>
      <c r="P28" s="149"/>
      <c r="Q28" s="153">
        <v>0</v>
      </c>
      <c r="R28" s="153">
        <v>0</v>
      </c>
      <c r="S28" s="178"/>
      <c r="T28" s="178"/>
      <c r="U28" s="153"/>
      <c r="V28" s="153"/>
      <c r="W28" s="153"/>
      <c r="X28" s="149"/>
      <c r="Y28" s="179">
        <f ca="1">Table210[[#This Row],[End Date]]+2-TODAY()</f>
        <v>64</v>
      </c>
      <c r="Z28" s="153">
        <f>IF(ISBLANK(Table210[[#This Row],[Roster Received By]]),1,0)</f>
        <v>1</v>
      </c>
      <c r="AA28" s="153">
        <f ca="1">IF(Table210[[#This Row],[Start Date]]&gt;TODAY(),1,)</f>
        <v>1</v>
      </c>
    </row>
    <row r="29" spans="1:27" s="132" customFormat="1" x14ac:dyDescent="0.25">
      <c r="A29" s="148" t="s">
        <v>433</v>
      </c>
      <c r="B29" s="149" t="s">
        <v>361</v>
      </c>
      <c r="C29" s="150" t="s">
        <v>362</v>
      </c>
      <c r="D29" s="150" t="s">
        <v>362</v>
      </c>
      <c r="E29" s="149" t="s">
        <v>198</v>
      </c>
      <c r="F29" s="151">
        <v>45884</v>
      </c>
      <c r="G29" s="151">
        <v>45884</v>
      </c>
      <c r="H29" s="151"/>
      <c r="I29" s="152"/>
      <c r="J29" s="154"/>
      <c r="K29" s="154"/>
      <c r="L29" s="154"/>
      <c r="M29" s="154"/>
      <c r="N29" s="154"/>
      <c r="O29" s="149"/>
      <c r="P29" s="149"/>
      <c r="Q29" s="153">
        <v>0</v>
      </c>
      <c r="R29" s="153">
        <v>0</v>
      </c>
      <c r="S29" s="153"/>
      <c r="T29" s="178"/>
      <c r="U29" s="153"/>
      <c r="V29" s="153"/>
      <c r="W29" s="153"/>
      <c r="X29" s="149"/>
      <c r="Y29" s="179">
        <f ca="1">Table210[[#This Row],[End Date]]+2-TODAY()</f>
        <v>109</v>
      </c>
      <c r="Z29" s="153">
        <f>IF(ISBLANK(Table210[[#This Row],[Roster Received By]]),1,0)</f>
        <v>1</v>
      </c>
      <c r="AA29" s="153">
        <f ca="1">IF(Table210[[#This Row],[Start Date]]&gt;TODAY(),1,)</f>
        <v>1</v>
      </c>
    </row>
    <row r="30" spans="1:27" s="132" customFormat="1" x14ac:dyDescent="0.25">
      <c r="A30" s="97"/>
      <c r="B30" s="96" t="s">
        <v>120</v>
      </c>
      <c r="C30" s="97" t="s">
        <v>121</v>
      </c>
      <c r="D30" s="97" t="s">
        <v>122</v>
      </c>
      <c r="E30" s="96"/>
      <c r="F30" s="99">
        <v>45565</v>
      </c>
      <c r="G30" s="99">
        <v>45569</v>
      </c>
      <c r="H30" s="102"/>
      <c r="I30" s="102">
        <v>0.54166666666666663</v>
      </c>
      <c r="J30" s="99"/>
      <c r="K30" s="99"/>
      <c r="L30" s="99"/>
      <c r="M30" s="99"/>
      <c r="N30" s="99"/>
      <c r="O30" s="96" t="s">
        <v>282</v>
      </c>
      <c r="P30" s="96"/>
      <c r="Q30" s="213">
        <v>45</v>
      </c>
      <c r="R30" s="300">
        <v>5</v>
      </c>
      <c r="S30" s="213"/>
      <c r="T30" s="213"/>
      <c r="U30" s="104"/>
      <c r="V30" s="104"/>
      <c r="W30" s="104"/>
      <c r="X30" s="104"/>
      <c r="Y30" s="301">
        <f ca="1">Table210[[#This Row],[End Date]]+2-TODAY()</f>
        <v>-206</v>
      </c>
      <c r="Z30" s="97">
        <f>IF(ISBLANK(Table210[[#This Row],[Roster Received By]]),1,0)</f>
        <v>1</v>
      </c>
      <c r="AA30" s="97">
        <f ca="1">IF(Table210[[#This Row],[Start Date]]&gt;TODAY(),1,)</f>
        <v>0</v>
      </c>
    </row>
    <row r="31" spans="1:27" s="132" customFormat="1" x14ac:dyDescent="0.25">
      <c r="A31" s="96"/>
      <c r="B31" s="96" t="s">
        <v>120</v>
      </c>
      <c r="C31" s="97" t="s">
        <v>121</v>
      </c>
      <c r="D31" s="97" t="s">
        <v>122</v>
      </c>
      <c r="E31" s="96"/>
      <c r="F31" s="99">
        <v>45586</v>
      </c>
      <c r="G31" s="99">
        <v>45590</v>
      </c>
      <c r="H31" s="102"/>
      <c r="I31" s="102">
        <v>0.33333333333333331</v>
      </c>
      <c r="J31" s="99"/>
      <c r="K31" s="99"/>
      <c r="L31" s="99"/>
      <c r="M31" s="99"/>
      <c r="N31" s="99"/>
      <c r="O31" s="96" t="s">
        <v>282</v>
      </c>
      <c r="P31" s="96"/>
      <c r="Q31" s="100">
        <v>45</v>
      </c>
      <c r="R31" s="300">
        <v>5</v>
      </c>
      <c r="S31" s="100"/>
      <c r="T31" s="100"/>
      <c r="U31" s="15"/>
      <c r="V31" s="15"/>
      <c r="W31" s="15"/>
      <c r="X31" s="96"/>
      <c r="Y31" s="69">
        <f ca="1">Table210[[#This Row],[End Date]]+2-TODAY()</f>
        <v>-185</v>
      </c>
      <c r="Z31" s="15">
        <f>IF(ISBLANK(Table210[[#This Row],[Roster Received By]]),1,0)</f>
        <v>1</v>
      </c>
      <c r="AA31" s="15">
        <f ca="1">IF(Table210[[#This Row],[Start Date]]&gt;TODAY(),1,)</f>
        <v>0</v>
      </c>
    </row>
    <row r="32" spans="1:27" s="132" customFormat="1" x14ac:dyDescent="0.25">
      <c r="A32" s="96"/>
      <c r="B32" s="96" t="s">
        <v>120</v>
      </c>
      <c r="C32" s="97" t="s">
        <v>121</v>
      </c>
      <c r="D32" s="97" t="s">
        <v>122</v>
      </c>
      <c r="E32" s="96"/>
      <c r="F32" s="99">
        <v>45599</v>
      </c>
      <c r="G32" s="99">
        <v>45603</v>
      </c>
      <c r="H32" s="102"/>
      <c r="I32" s="102">
        <v>0.79166666666666663</v>
      </c>
      <c r="J32" s="99"/>
      <c r="K32" s="99"/>
      <c r="L32" s="99"/>
      <c r="M32" s="99"/>
      <c r="N32" s="99"/>
      <c r="O32" s="96" t="s">
        <v>282</v>
      </c>
      <c r="P32" s="96"/>
      <c r="Q32" s="100">
        <v>45</v>
      </c>
      <c r="R32" s="300">
        <v>5</v>
      </c>
      <c r="S32" s="100"/>
      <c r="T32" s="100"/>
      <c r="U32" s="15"/>
      <c r="V32" s="15"/>
      <c r="W32" s="15"/>
      <c r="X32" s="96"/>
      <c r="Y32" s="69">
        <f ca="1">Table210[[#This Row],[End Date]]+2-TODAY()</f>
        <v>-172</v>
      </c>
      <c r="Z32" s="15">
        <f>IF(ISBLANK(Table210[[#This Row],[Roster Received By]]),1,0)</f>
        <v>1</v>
      </c>
      <c r="AA32" s="15">
        <f ca="1">IF(Table210[[#This Row],[Start Date]]&gt;TODAY(),1,)</f>
        <v>0</v>
      </c>
    </row>
    <row r="33" spans="1:27" s="133" customFormat="1" ht="13.5" customHeight="1" x14ac:dyDescent="0.25">
      <c r="A33" s="61"/>
      <c r="B33" s="96" t="s">
        <v>120</v>
      </c>
      <c r="C33" s="97" t="s">
        <v>121</v>
      </c>
      <c r="D33" s="97" t="s">
        <v>122</v>
      </c>
      <c r="E33" s="96"/>
      <c r="F33" s="99">
        <v>45628</v>
      </c>
      <c r="G33" s="99">
        <v>45632</v>
      </c>
      <c r="H33" s="105"/>
      <c r="I33" s="102">
        <v>0.54166666666666663</v>
      </c>
      <c r="J33" s="99"/>
      <c r="K33" s="99"/>
      <c r="L33" s="99"/>
      <c r="M33" s="99"/>
      <c r="N33" s="99"/>
      <c r="O33" s="96" t="s">
        <v>282</v>
      </c>
      <c r="P33" s="96"/>
      <c r="Q33" s="100">
        <v>45</v>
      </c>
      <c r="R33" s="300">
        <v>5</v>
      </c>
      <c r="S33" s="100"/>
      <c r="T33" s="100"/>
      <c r="U33" s="15"/>
      <c r="V33" s="15"/>
      <c r="W33" s="15"/>
      <c r="X33" s="96"/>
      <c r="Y33" s="69">
        <f ca="1">Table210[[#This Row],[End Date]]+2-TODAY()</f>
        <v>-143</v>
      </c>
      <c r="Z33" s="15">
        <f>IF(ISBLANK(Table210[[#This Row],[Roster Received By]]),1,0)</f>
        <v>1</v>
      </c>
      <c r="AA33" s="15">
        <f ca="1">IF(Table210[[#This Row],[Start Date]]&gt;TODAY(),1,)</f>
        <v>0</v>
      </c>
    </row>
    <row r="34" spans="1:27" s="103" customFormat="1" ht="14.25" customHeight="1" x14ac:dyDescent="0.25">
      <c r="A34" s="61"/>
      <c r="B34" s="96" t="s">
        <v>120</v>
      </c>
      <c r="C34" s="97" t="s">
        <v>121</v>
      </c>
      <c r="D34" s="97" t="s">
        <v>122</v>
      </c>
      <c r="E34" s="96"/>
      <c r="F34" s="99">
        <v>45663</v>
      </c>
      <c r="G34" s="99">
        <v>45667</v>
      </c>
      <c r="H34" s="105"/>
      <c r="I34" s="102">
        <v>0.54166666666666663</v>
      </c>
      <c r="J34" s="99"/>
      <c r="K34" s="99"/>
      <c r="L34" s="99"/>
      <c r="M34" s="99"/>
      <c r="N34" s="99"/>
      <c r="O34" s="96" t="s">
        <v>434</v>
      </c>
      <c r="P34" s="96"/>
      <c r="Q34" s="100">
        <v>45</v>
      </c>
      <c r="R34" s="300">
        <v>5</v>
      </c>
      <c r="S34" s="100"/>
      <c r="T34" s="100"/>
      <c r="U34" s="15"/>
      <c r="V34" s="15"/>
      <c r="W34" s="15"/>
      <c r="X34" s="96"/>
      <c r="Y34" s="69">
        <f ca="1">Table210[[#This Row],[End Date]]+2-TODAY()</f>
        <v>-108</v>
      </c>
      <c r="Z34" s="15">
        <f>IF(ISBLANK(Table210[[#This Row],[Roster Received By]]),1,0)</f>
        <v>1</v>
      </c>
      <c r="AA34" s="15">
        <f ca="1">IF(Table210[[#This Row],[Start Date]]&gt;TODAY(),1,)</f>
        <v>0</v>
      </c>
    </row>
    <row r="35" spans="1:27" s="103" customFormat="1" x14ac:dyDescent="0.25">
      <c r="A35" s="61"/>
      <c r="B35" s="96" t="s">
        <v>120</v>
      </c>
      <c r="C35" s="97" t="s">
        <v>121</v>
      </c>
      <c r="D35" s="97" t="s">
        <v>122</v>
      </c>
      <c r="E35" s="96"/>
      <c r="F35" s="99">
        <v>45684</v>
      </c>
      <c r="G35" s="99">
        <v>45688</v>
      </c>
      <c r="H35" s="105"/>
      <c r="I35" s="102">
        <v>0.54166666666666663</v>
      </c>
      <c r="J35" s="99"/>
      <c r="K35" s="99"/>
      <c r="L35" s="99"/>
      <c r="M35" s="99"/>
      <c r="N35" s="99"/>
      <c r="O35" s="96" t="s">
        <v>434</v>
      </c>
      <c r="P35" s="96"/>
      <c r="Q35" s="100">
        <v>45</v>
      </c>
      <c r="R35" s="300">
        <v>5</v>
      </c>
      <c r="S35" s="100"/>
      <c r="T35" s="100"/>
      <c r="U35" s="15"/>
      <c r="V35" s="15"/>
      <c r="W35" s="15"/>
      <c r="X35" s="96"/>
      <c r="Y35" s="69">
        <f ca="1">Table210[[#This Row],[End Date]]+2-TODAY()</f>
        <v>-87</v>
      </c>
      <c r="Z35" s="15">
        <f>IF(ISBLANK(Table210[[#This Row],[Roster Received By]]),1,0)</f>
        <v>1</v>
      </c>
      <c r="AA35" s="15">
        <f ca="1">IF(Table210[[#This Row],[Start Date]]&gt;TODAY(),1,)</f>
        <v>0</v>
      </c>
    </row>
    <row r="36" spans="1:27" s="132" customFormat="1" x14ac:dyDescent="0.25">
      <c r="A36" s="61"/>
      <c r="B36" s="96" t="s">
        <v>120</v>
      </c>
      <c r="C36" s="97" t="s">
        <v>121</v>
      </c>
      <c r="D36" s="97" t="s">
        <v>122</v>
      </c>
      <c r="E36" s="96"/>
      <c r="F36" s="99">
        <v>45698</v>
      </c>
      <c r="G36" s="99">
        <v>45702</v>
      </c>
      <c r="H36" s="105"/>
      <c r="I36" s="105">
        <v>0.33333333333333331</v>
      </c>
      <c r="J36" s="99"/>
      <c r="K36" s="99"/>
      <c r="L36" s="99"/>
      <c r="M36" s="99"/>
      <c r="N36" s="99"/>
      <c r="O36" s="96" t="s">
        <v>434</v>
      </c>
      <c r="P36" s="96"/>
      <c r="Q36" s="100">
        <v>45</v>
      </c>
      <c r="R36" s="300">
        <v>5</v>
      </c>
      <c r="S36" s="100"/>
      <c r="T36" s="100"/>
      <c r="U36" s="15"/>
      <c r="V36" s="15"/>
      <c r="W36" s="15"/>
      <c r="X36" s="96"/>
      <c r="Y36" s="69">
        <f ca="1">Table210[[#This Row],[End Date]]+2-TODAY()</f>
        <v>-73</v>
      </c>
      <c r="Z36" s="15">
        <f>IF(ISBLANK(Table210[[#This Row],[Roster Received By]]),1,0)</f>
        <v>1</v>
      </c>
      <c r="AA36" s="15">
        <f ca="1">IF(Table210[[#This Row],[Start Date]]&gt;TODAY(),1,)</f>
        <v>0</v>
      </c>
    </row>
    <row r="37" spans="1:27" s="133" customFormat="1" ht="14.25" customHeight="1" x14ac:dyDescent="0.25">
      <c r="A37" s="61"/>
      <c r="B37" s="96" t="s">
        <v>120</v>
      </c>
      <c r="C37" s="97" t="s">
        <v>121</v>
      </c>
      <c r="D37" s="97" t="s">
        <v>122</v>
      </c>
      <c r="E37" s="96"/>
      <c r="F37" s="99">
        <v>45711</v>
      </c>
      <c r="G37" s="99">
        <v>45715</v>
      </c>
      <c r="H37" s="102"/>
      <c r="I37" s="102">
        <v>0.79166666666666663</v>
      </c>
      <c r="J37" s="99"/>
      <c r="K37" s="99"/>
      <c r="L37" s="99"/>
      <c r="M37" s="99"/>
      <c r="N37" s="99"/>
      <c r="O37" s="96" t="s">
        <v>434</v>
      </c>
      <c r="P37" s="96"/>
      <c r="Q37" s="100">
        <v>45</v>
      </c>
      <c r="R37" s="300">
        <v>5</v>
      </c>
      <c r="S37" s="100"/>
      <c r="T37" s="100"/>
      <c r="U37" s="15"/>
      <c r="V37" s="15"/>
      <c r="W37" s="15"/>
      <c r="X37" s="96"/>
      <c r="Y37" s="69">
        <f ca="1">Table210[[#This Row],[End Date]]+2-TODAY()</f>
        <v>-60</v>
      </c>
      <c r="Z37" s="15">
        <f>IF(ISBLANK(Table210[[#This Row],[Roster Received By]]),1,0)</f>
        <v>1</v>
      </c>
      <c r="AA37" s="15">
        <f ca="1">IF(Table210[[#This Row],[Start Date]]&gt;TODAY(),1,)</f>
        <v>0</v>
      </c>
    </row>
    <row r="38" spans="1:27" s="103" customFormat="1" ht="14.25" customHeight="1" x14ac:dyDescent="0.25">
      <c r="A38" s="61"/>
      <c r="B38" s="96" t="s">
        <v>120</v>
      </c>
      <c r="C38" s="97" t="s">
        <v>121</v>
      </c>
      <c r="D38" s="97" t="s">
        <v>122</v>
      </c>
      <c r="E38" s="96"/>
      <c r="F38" s="99">
        <v>45726</v>
      </c>
      <c r="G38" s="99">
        <v>45730</v>
      </c>
      <c r="H38" s="102"/>
      <c r="I38" s="102">
        <v>0.54166666666666663</v>
      </c>
      <c r="J38" s="99"/>
      <c r="K38" s="99"/>
      <c r="L38" s="99"/>
      <c r="M38" s="99"/>
      <c r="N38" s="99"/>
      <c r="O38" s="96" t="s">
        <v>434</v>
      </c>
      <c r="P38" s="96"/>
      <c r="Q38" s="100">
        <v>45</v>
      </c>
      <c r="R38" s="300">
        <v>5</v>
      </c>
      <c r="S38" s="100"/>
      <c r="T38" s="100"/>
      <c r="U38" s="15"/>
      <c r="V38" s="15"/>
      <c r="W38" s="15"/>
      <c r="X38" s="96"/>
      <c r="Y38" s="69">
        <f ca="1">Table210[[#This Row],[End Date]]+2-TODAY()</f>
        <v>-45</v>
      </c>
      <c r="Z38" s="15">
        <f>IF(ISBLANK(Table210[[#This Row],[Roster Received By]]),1,0)</f>
        <v>1</v>
      </c>
      <c r="AA38" s="15">
        <f ca="1">IF(Table210[[#This Row],[Start Date]]&gt;TODAY(),1,)</f>
        <v>0</v>
      </c>
    </row>
    <row r="39" spans="1:27" s="103" customFormat="1" ht="14.25" customHeight="1" x14ac:dyDescent="0.25">
      <c r="A39" s="61"/>
      <c r="B39" s="96" t="s">
        <v>120</v>
      </c>
      <c r="C39" s="97" t="s">
        <v>121</v>
      </c>
      <c r="D39" s="97" t="s">
        <v>122</v>
      </c>
      <c r="E39" s="96"/>
      <c r="F39" s="99">
        <v>45754</v>
      </c>
      <c r="G39" s="99">
        <v>45758</v>
      </c>
      <c r="H39" s="102"/>
      <c r="I39" s="102">
        <v>0.54166666666666663</v>
      </c>
      <c r="J39" s="99"/>
      <c r="K39" s="99"/>
      <c r="L39" s="99"/>
      <c r="M39" s="99"/>
      <c r="N39" s="99"/>
      <c r="O39" s="96" t="s">
        <v>434</v>
      </c>
      <c r="P39" s="96"/>
      <c r="Q39" s="100">
        <v>45</v>
      </c>
      <c r="R39" s="300">
        <v>5</v>
      </c>
      <c r="S39" s="100"/>
      <c r="T39" s="100"/>
      <c r="U39" s="15"/>
      <c r="V39" s="15"/>
      <c r="W39" s="15"/>
      <c r="X39" s="96"/>
      <c r="Y39" s="69">
        <f ca="1">Table210[[#This Row],[End Date]]+2-TODAY()</f>
        <v>-17</v>
      </c>
      <c r="Z39" s="15">
        <f>IF(ISBLANK(Table210[[#This Row],[Roster Received By]]),1,0)</f>
        <v>1</v>
      </c>
      <c r="AA39" s="15">
        <f ca="1">IF(Table210[[#This Row],[Start Date]]&gt;TODAY(),1,)</f>
        <v>0</v>
      </c>
    </row>
    <row r="40" spans="1:27" s="103" customFormat="1" ht="14.25" customHeight="1" x14ac:dyDescent="0.25">
      <c r="A40" s="61"/>
      <c r="B40" s="96" t="s">
        <v>120</v>
      </c>
      <c r="C40" s="97" t="s">
        <v>121</v>
      </c>
      <c r="D40" s="97" t="s">
        <v>122</v>
      </c>
      <c r="E40" s="96"/>
      <c r="F40" s="99">
        <v>45782</v>
      </c>
      <c r="G40" s="99">
        <v>45786</v>
      </c>
      <c r="H40" s="102"/>
      <c r="I40" s="102">
        <v>0.33333333333333331</v>
      </c>
      <c r="J40" s="99"/>
      <c r="K40" s="99"/>
      <c r="L40" s="99"/>
      <c r="M40" s="99"/>
      <c r="N40" s="99"/>
      <c r="O40" s="96" t="s">
        <v>434</v>
      </c>
      <c r="P40" s="96"/>
      <c r="Q40" s="100">
        <v>45</v>
      </c>
      <c r="R40" s="300">
        <v>5</v>
      </c>
      <c r="S40" s="100"/>
      <c r="T40" s="100"/>
      <c r="U40" s="15"/>
      <c r="V40" s="15"/>
      <c r="W40" s="15"/>
      <c r="X40" s="96"/>
      <c r="Y40" s="69">
        <f ca="1">Table210[[#This Row],[End Date]]+2-TODAY()</f>
        <v>11</v>
      </c>
      <c r="Z40" s="15">
        <f>IF(ISBLANK(Table210[[#This Row],[Roster Received By]]),1,0)</f>
        <v>1</v>
      </c>
      <c r="AA40" s="15">
        <f ca="1">IF(Table210[[#This Row],[Start Date]]&gt;TODAY(),1,)</f>
        <v>1</v>
      </c>
    </row>
    <row r="41" spans="1:27" s="103" customFormat="1" ht="14.25" customHeight="1" x14ac:dyDescent="0.25">
      <c r="A41" s="61"/>
      <c r="B41" s="96" t="s">
        <v>120</v>
      </c>
      <c r="C41" s="97" t="s">
        <v>121</v>
      </c>
      <c r="D41" s="97" t="s">
        <v>122</v>
      </c>
      <c r="E41" s="96"/>
      <c r="F41" s="99">
        <v>45795</v>
      </c>
      <c r="G41" s="99">
        <v>45799</v>
      </c>
      <c r="H41" s="102"/>
      <c r="I41" s="102">
        <v>0.79166666666666663</v>
      </c>
      <c r="J41" s="99"/>
      <c r="K41" s="99"/>
      <c r="L41" s="99"/>
      <c r="M41" s="99"/>
      <c r="N41" s="99"/>
      <c r="O41" s="96" t="s">
        <v>434</v>
      </c>
      <c r="P41" s="96"/>
      <c r="Q41" s="100">
        <v>45</v>
      </c>
      <c r="R41" s="300">
        <v>5</v>
      </c>
      <c r="S41" s="100"/>
      <c r="T41" s="100"/>
      <c r="U41" s="15"/>
      <c r="V41" s="15"/>
      <c r="W41" s="15"/>
      <c r="X41" s="96"/>
      <c r="Y41" s="69">
        <f ca="1">Table210[[#This Row],[End Date]]+2-TODAY()</f>
        <v>24</v>
      </c>
      <c r="Z41" s="15">
        <f>IF(ISBLANK(Table210[[#This Row],[Roster Received By]]),1,0)</f>
        <v>1</v>
      </c>
      <c r="AA41" s="15">
        <f ca="1">IF(Table210[[#This Row],[Start Date]]&gt;TODAY(),1,)</f>
        <v>1</v>
      </c>
    </row>
    <row r="42" spans="1:27" s="103" customFormat="1" ht="14.25" customHeight="1" x14ac:dyDescent="0.25">
      <c r="A42" s="61"/>
      <c r="B42" s="96" t="s">
        <v>120</v>
      </c>
      <c r="C42" s="97" t="s">
        <v>121</v>
      </c>
      <c r="D42" s="97" t="s">
        <v>122</v>
      </c>
      <c r="E42" s="96"/>
      <c r="F42" s="99">
        <v>45831</v>
      </c>
      <c r="G42" s="99">
        <v>45835</v>
      </c>
      <c r="H42" s="105"/>
      <c r="I42" s="105">
        <v>0.54166666666666663</v>
      </c>
      <c r="J42" s="99"/>
      <c r="K42" s="99"/>
      <c r="L42" s="99"/>
      <c r="M42" s="99"/>
      <c r="N42" s="99"/>
      <c r="O42" s="96" t="s">
        <v>434</v>
      </c>
      <c r="P42" s="96"/>
      <c r="Q42" s="100">
        <v>45</v>
      </c>
      <c r="R42" s="300">
        <v>5</v>
      </c>
      <c r="S42" s="100"/>
      <c r="T42" s="100"/>
      <c r="U42" s="15"/>
      <c r="V42" s="15"/>
      <c r="W42" s="15"/>
      <c r="X42" s="96"/>
      <c r="Y42" s="69">
        <f ca="1">Table210[[#This Row],[End Date]]+2-TODAY()</f>
        <v>60</v>
      </c>
      <c r="Z42" s="15">
        <f>IF(ISBLANK(Table210[[#This Row],[Roster Received By]]),1,0)</f>
        <v>1</v>
      </c>
      <c r="AA42" s="15">
        <f ca="1">IF(Table210[[#This Row],[Start Date]]&gt;TODAY(),1,)</f>
        <v>1</v>
      </c>
    </row>
    <row r="43" spans="1:27" s="103" customFormat="1" ht="14.25" customHeight="1" x14ac:dyDescent="0.25">
      <c r="A43" s="61"/>
      <c r="B43" s="96" t="s">
        <v>120</v>
      </c>
      <c r="C43" s="97" t="s">
        <v>121</v>
      </c>
      <c r="D43" s="97" t="s">
        <v>122</v>
      </c>
      <c r="E43" s="96"/>
      <c r="F43" s="99">
        <v>45845</v>
      </c>
      <c r="G43" s="99">
        <v>45849</v>
      </c>
      <c r="H43" s="105"/>
      <c r="I43" s="105">
        <v>0.54166666666666663</v>
      </c>
      <c r="J43" s="99"/>
      <c r="K43" s="99"/>
      <c r="L43" s="99"/>
      <c r="M43" s="99"/>
      <c r="N43" s="99"/>
      <c r="O43" s="96" t="s">
        <v>434</v>
      </c>
      <c r="P43" s="96"/>
      <c r="Q43" s="100">
        <v>45</v>
      </c>
      <c r="R43" s="300">
        <v>5</v>
      </c>
      <c r="S43" s="100"/>
      <c r="T43" s="100"/>
      <c r="U43" s="15"/>
      <c r="V43" s="15"/>
      <c r="W43" s="97"/>
      <c r="X43" s="96"/>
      <c r="Y43" s="69">
        <f ca="1">Table210[[#This Row],[End Date]]+2-TODAY()</f>
        <v>74</v>
      </c>
      <c r="Z43" s="15">
        <f>IF(ISBLANK(Table210[[#This Row],[Roster Received By]]),1,0)</f>
        <v>1</v>
      </c>
      <c r="AA43" s="15">
        <f ca="1">IF(Table210[[#This Row],[Start Date]]&gt;TODAY(),1,)</f>
        <v>1</v>
      </c>
    </row>
    <row r="44" spans="1:27" s="103" customFormat="1" ht="14.25" customHeight="1" x14ac:dyDescent="0.25">
      <c r="A44" s="61"/>
      <c r="B44" s="96" t="s">
        <v>120</v>
      </c>
      <c r="C44" s="97" t="s">
        <v>121</v>
      </c>
      <c r="D44" s="97" t="s">
        <v>122</v>
      </c>
      <c r="E44" s="96"/>
      <c r="F44" s="99">
        <v>45866</v>
      </c>
      <c r="G44" s="99">
        <v>45870</v>
      </c>
      <c r="H44" s="105"/>
      <c r="I44" s="105">
        <v>0.54166666666666663</v>
      </c>
      <c r="J44" s="99"/>
      <c r="K44" s="99"/>
      <c r="L44" s="99"/>
      <c r="M44" s="99"/>
      <c r="N44" s="99"/>
      <c r="O44" s="96" t="s">
        <v>434</v>
      </c>
      <c r="P44" s="96"/>
      <c r="Q44" s="100">
        <v>45</v>
      </c>
      <c r="R44" s="300">
        <v>5</v>
      </c>
      <c r="S44" s="100"/>
      <c r="T44" s="100"/>
      <c r="U44" s="15"/>
      <c r="V44" s="15"/>
      <c r="W44" s="97"/>
      <c r="X44" s="96"/>
      <c r="Y44" s="69">
        <f ca="1">Table210[[#This Row],[End Date]]+2-TODAY()</f>
        <v>95</v>
      </c>
      <c r="Z44" s="15">
        <f>IF(ISBLANK(Table210[[#This Row],[Roster Received By]]),1,0)</f>
        <v>1</v>
      </c>
      <c r="AA44" s="15">
        <f ca="1">IF(Table210[[#This Row],[Start Date]]&gt;TODAY(),1,)</f>
        <v>1</v>
      </c>
    </row>
    <row r="45" spans="1:27" s="103" customFormat="1" ht="14.25" customHeight="1" x14ac:dyDescent="0.25">
      <c r="A45" s="61"/>
      <c r="B45" s="96" t="s">
        <v>120</v>
      </c>
      <c r="C45" s="97" t="s">
        <v>121</v>
      </c>
      <c r="D45" s="97" t="s">
        <v>122</v>
      </c>
      <c r="E45" s="96"/>
      <c r="F45" s="99">
        <v>45886</v>
      </c>
      <c r="G45" s="99">
        <v>45890</v>
      </c>
      <c r="H45" s="102"/>
      <c r="I45" s="102">
        <v>0.79166666666666663</v>
      </c>
      <c r="J45" s="99"/>
      <c r="K45" s="99"/>
      <c r="L45" s="99"/>
      <c r="M45" s="99"/>
      <c r="N45" s="99"/>
      <c r="O45" s="96" t="s">
        <v>434</v>
      </c>
      <c r="P45" s="96"/>
      <c r="Q45" s="100">
        <v>45</v>
      </c>
      <c r="R45" s="300">
        <v>5</v>
      </c>
      <c r="S45" s="100"/>
      <c r="T45" s="100"/>
      <c r="U45" s="15"/>
      <c r="V45" s="15"/>
      <c r="W45" s="15"/>
      <c r="X45" s="96"/>
      <c r="Y45" s="69">
        <f ca="1">Table210[[#This Row],[End Date]]+2-TODAY()</f>
        <v>115</v>
      </c>
      <c r="Z45" s="15">
        <f>IF(ISBLANK(Table210[[#This Row],[Roster Received By]]),1,0)</f>
        <v>1</v>
      </c>
      <c r="AA45" s="15">
        <f ca="1">IF(Table210[[#This Row],[Start Date]]&gt;TODAY(),1,)</f>
        <v>1</v>
      </c>
    </row>
    <row r="46" spans="1:27" s="103" customFormat="1" ht="16.5" customHeight="1" x14ac:dyDescent="0.25">
      <c r="A46" s="61"/>
      <c r="B46" s="134" t="s">
        <v>120</v>
      </c>
      <c r="C46" s="97" t="s">
        <v>121</v>
      </c>
      <c r="D46" s="97" t="s">
        <v>122</v>
      </c>
      <c r="E46" s="96"/>
      <c r="F46" s="99">
        <v>45915</v>
      </c>
      <c r="G46" s="99">
        <v>45919</v>
      </c>
      <c r="H46" s="99"/>
      <c r="I46" s="98">
        <v>0.33333333333333331</v>
      </c>
      <c r="J46" s="102"/>
      <c r="K46" s="102"/>
      <c r="L46" s="102"/>
      <c r="M46" s="102"/>
      <c r="N46" s="102"/>
      <c r="O46" s="96" t="s">
        <v>434</v>
      </c>
      <c r="P46" s="96"/>
      <c r="Q46" s="15">
        <v>45</v>
      </c>
      <c r="R46" s="211">
        <v>5</v>
      </c>
      <c r="S46" s="15"/>
      <c r="T46" s="100"/>
      <c r="U46" s="15"/>
      <c r="V46" s="15"/>
      <c r="W46" s="15"/>
      <c r="X46" s="96"/>
      <c r="Y46" s="69">
        <f ca="1">Table210[[#This Row],[End Date]]+2-TODAY()</f>
        <v>144</v>
      </c>
      <c r="Z46" s="15">
        <f>IF(ISBLANK(Table210[[#This Row],[Roster Received By]]),1,0)</f>
        <v>1</v>
      </c>
      <c r="AA46" s="15">
        <f ca="1">IF(Table210[[#This Row],[Start Date]]&gt;TODAY(),1,)</f>
        <v>1</v>
      </c>
    </row>
    <row r="47" spans="1:27" s="103" customFormat="1" ht="16.5" customHeight="1" x14ac:dyDescent="0.25">
      <c r="A47" s="149" t="s">
        <v>435</v>
      </c>
      <c r="B47" s="149" t="s">
        <v>223</v>
      </c>
      <c r="C47" s="150" t="s">
        <v>223</v>
      </c>
      <c r="D47" s="150" t="s">
        <v>223</v>
      </c>
      <c r="E47" s="149"/>
      <c r="F47" s="163">
        <v>45579</v>
      </c>
      <c r="G47" s="151">
        <v>45579</v>
      </c>
      <c r="H47" s="151"/>
      <c r="I47" s="152"/>
      <c r="J47" s="154"/>
      <c r="K47" s="154"/>
      <c r="L47" s="154"/>
      <c r="M47" s="154"/>
      <c r="N47" s="154"/>
      <c r="O47" s="149"/>
      <c r="P47" s="149"/>
      <c r="Q47" s="153">
        <v>0</v>
      </c>
      <c r="R47" s="153">
        <v>0</v>
      </c>
      <c r="S47" s="15"/>
      <c r="T47" s="100"/>
      <c r="U47" s="15"/>
      <c r="V47" s="15"/>
      <c r="W47" s="15"/>
      <c r="X47" s="96"/>
      <c r="Y47" s="69">
        <f ca="1">Table210[[#This Row],[End Date]]+2-TODAY()</f>
        <v>-196</v>
      </c>
      <c r="Z47" s="15">
        <f>IF(ISBLANK(Table210[[#This Row],[Roster Received By]]),1,0)</f>
        <v>1</v>
      </c>
      <c r="AA47" s="15">
        <f ca="1">IF(Table210[[#This Row],[Start Date]]&gt;TODAY(),1,)</f>
        <v>0</v>
      </c>
    </row>
    <row r="48" spans="1:27" s="103" customFormat="1" ht="14.25" customHeight="1" x14ac:dyDescent="0.25">
      <c r="A48" s="148" t="s">
        <v>436</v>
      </c>
      <c r="B48" s="149" t="s">
        <v>223</v>
      </c>
      <c r="C48" s="150" t="s">
        <v>223</v>
      </c>
      <c r="D48" s="150" t="s">
        <v>223</v>
      </c>
      <c r="E48" s="177"/>
      <c r="F48" s="151">
        <v>45607</v>
      </c>
      <c r="G48" s="151">
        <v>45607</v>
      </c>
      <c r="H48" s="154"/>
      <c r="I48" s="154"/>
      <c r="J48" s="151"/>
      <c r="K48" s="151"/>
      <c r="L48" s="151"/>
      <c r="M48" s="151"/>
      <c r="N48" s="151"/>
      <c r="O48" s="149"/>
      <c r="P48" s="149"/>
      <c r="Q48" s="153">
        <v>0</v>
      </c>
      <c r="R48" s="153">
        <v>0</v>
      </c>
      <c r="S48" s="153"/>
      <c r="T48" s="178"/>
      <c r="U48" s="153"/>
      <c r="V48" s="153"/>
      <c r="W48" s="150"/>
      <c r="X48" s="149"/>
      <c r="Y48" s="179">
        <f ca="1">Table210[[#This Row],[End Date]]+2-TODAY()</f>
        <v>-168</v>
      </c>
      <c r="Z48" s="153">
        <f>IF(ISBLANK(Table210[[#This Row],[Roster Received By]]),1,0)</f>
        <v>1</v>
      </c>
      <c r="AA48" s="153">
        <f ca="1">IF(Table210[[#This Row],[Start Date]]&gt;TODAY(),1,)</f>
        <v>0</v>
      </c>
    </row>
    <row r="49" spans="1:27" s="103" customFormat="1" ht="14.25" customHeight="1" x14ac:dyDescent="0.25">
      <c r="A49" s="148" t="s">
        <v>437</v>
      </c>
      <c r="B49" s="149" t="s">
        <v>223</v>
      </c>
      <c r="C49" s="150" t="s">
        <v>223</v>
      </c>
      <c r="D49" s="150" t="s">
        <v>223</v>
      </c>
      <c r="E49" s="149"/>
      <c r="F49" s="151">
        <v>45624</v>
      </c>
      <c r="G49" s="151">
        <v>45624</v>
      </c>
      <c r="H49" s="180"/>
      <c r="I49" s="154"/>
      <c r="J49" s="151"/>
      <c r="K49" s="151"/>
      <c r="L49" s="151"/>
      <c r="M49" s="151"/>
      <c r="N49" s="151"/>
      <c r="O49" s="149"/>
      <c r="P49" s="149"/>
      <c r="Q49" s="153">
        <v>0</v>
      </c>
      <c r="R49" s="153">
        <v>0</v>
      </c>
      <c r="S49" s="178"/>
      <c r="T49" s="178"/>
      <c r="U49" s="153"/>
      <c r="V49" s="153"/>
      <c r="W49" s="153"/>
      <c r="X49" s="149"/>
      <c r="Y49" s="179">
        <f ca="1">Table210[[#This Row],[End Date]]+2-TODAY()</f>
        <v>-151</v>
      </c>
      <c r="Z49" s="153">
        <f>IF(ISBLANK(Table210[[#This Row],[Roster Received By]]),1,0)</f>
        <v>1</v>
      </c>
      <c r="AA49" s="153">
        <f ca="1">IF(Table210[[#This Row],[Start Date]]&gt;TODAY(),1,)</f>
        <v>0</v>
      </c>
    </row>
    <row r="50" spans="1:27" s="103" customFormat="1" ht="14.25" customHeight="1" x14ac:dyDescent="0.25">
      <c r="A50" s="148" t="s">
        <v>438</v>
      </c>
      <c r="B50" s="149" t="s">
        <v>223</v>
      </c>
      <c r="C50" s="150" t="s">
        <v>223</v>
      </c>
      <c r="D50" s="150" t="s">
        <v>223</v>
      </c>
      <c r="E50" s="149"/>
      <c r="F50" s="151">
        <v>45651</v>
      </c>
      <c r="G50" s="151">
        <v>45651</v>
      </c>
      <c r="H50" s="151"/>
      <c r="I50" s="152"/>
      <c r="J50" s="152"/>
      <c r="K50" s="152"/>
      <c r="L50" s="152"/>
      <c r="M50" s="152"/>
      <c r="N50" s="152"/>
      <c r="O50" s="149"/>
      <c r="P50" s="149"/>
      <c r="Q50" s="153">
        <v>0</v>
      </c>
      <c r="R50" s="153">
        <v>0</v>
      </c>
      <c r="S50" s="153"/>
      <c r="T50" s="178"/>
      <c r="U50" s="153"/>
      <c r="V50" s="153"/>
      <c r="W50" s="153"/>
      <c r="X50" s="149"/>
      <c r="Y50" s="179">
        <f ca="1">Table210[[#This Row],[End Date]]+2-TODAY()</f>
        <v>-124</v>
      </c>
      <c r="Z50" s="153">
        <f>IF(ISBLANK(Table210[[#This Row],[Roster Received By]]),1,0)</f>
        <v>1</v>
      </c>
      <c r="AA50" s="153">
        <f ca="1">IF(Table210[[#This Row],[Start Date]]&gt;TODAY(),1,)</f>
        <v>0</v>
      </c>
    </row>
    <row r="51" spans="1:27" s="103" customFormat="1" ht="14.25" customHeight="1" x14ac:dyDescent="0.25">
      <c r="A51" s="149" t="s">
        <v>439</v>
      </c>
      <c r="B51" s="149" t="s">
        <v>223</v>
      </c>
      <c r="C51" s="150" t="s">
        <v>223</v>
      </c>
      <c r="D51" s="150" t="s">
        <v>223</v>
      </c>
      <c r="E51" s="177"/>
      <c r="F51" s="151">
        <v>45658</v>
      </c>
      <c r="G51" s="151">
        <v>45658</v>
      </c>
      <c r="H51" s="180"/>
      <c r="I51" s="180"/>
      <c r="J51" s="151"/>
      <c r="K51" s="151"/>
      <c r="L51" s="151"/>
      <c r="M51" s="151"/>
      <c r="N51" s="151"/>
      <c r="O51" s="149"/>
      <c r="P51" s="149"/>
      <c r="Q51" s="153">
        <v>0</v>
      </c>
      <c r="R51" s="153">
        <v>0</v>
      </c>
      <c r="S51" s="153"/>
      <c r="T51" s="178"/>
      <c r="U51" s="153"/>
      <c r="V51" s="153"/>
      <c r="W51" s="153"/>
      <c r="X51" s="149"/>
      <c r="Y51" s="179">
        <f ca="1">Table210[[#This Row],[End Date]]+2-TODAY()</f>
        <v>-117</v>
      </c>
      <c r="Z51" s="153">
        <f>IF(ISBLANK(Table210[[#This Row],[Roster Received By]]),1,0)</f>
        <v>1</v>
      </c>
      <c r="AA51" s="153">
        <f ca="1">IF(Table210[[#This Row],[Start Date]]&gt;TODAY(),1,)</f>
        <v>0</v>
      </c>
    </row>
    <row r="52" spans="1:27" s="135" customFormat="1" ht="14.25" customHeight="1" x14ac:dyDescent="0.25">
      <c r="A52" s="149" t="s">
        <v>440</v>
      </c>
      <c r="B52" s="149" t="s">
        <v>223</v>
      </c>
      <c r="C52" s="150" t="s">
        <v>223</v>
      </c>
      <c r="D52" s="150" t="s">
        <v>223</v>
      </c>
      <c r="E52" s="149"/>
      <c r="F52" s="151">
        <v>45677</v>
      </c>
      <c r="G52" s="151">
        <v>45677</v>
      </c>
      <c r="H52" s="180"/>
      <c r="I52" s="154"/>
      <c r="J52" s="151"/>
      <c r="K52" s="151"/>
      <c r="L52" s="151"/>
      <c r="M52" s="151"/>
      <c r="N52" s="151"/>
      <c r="O52" s="149"/>
      <c r="P52" s="149"/>
      <c r="Q52" s="153">
        <v>0</v>
      </c>
      <c r="R52" s="153">
        <v>0</v>
      </c>
      <c r="S52" s="178"/>
      <c r="T52" s="178"/>
      <c r="U52" s="153"/>
      <c r="V52" s="153"/>
      <c r="W52" s="150"/>
      <c r="X52" s="149"/>
      <c r="Y52" s="179">
        <f ca="1">Table210[[#This Row],[End Date]]+2-TODAY()</f>
        <v>-98</v>
      </c>
      <c r="Z52" s="153">
        <f>IF(ISBLANK(Table210[[#This Row],[Roster Received By]]),1,0)</f>
        <v>1</v>
      </c>
      <c r="AA52" s="153">
        <f ca="1">IF(Table210[[#This Row],[Start Date]]&gt;TODAY(),1,)</f>
        <v>0</v>
      </c>
    </row>
    <row r="53" spans="1:27" s="103" customFormat="1" ht="16.5" customHeight="1" x14ac:dyDescent="0.25">
      <c r="A53" s="148" t="s">
        <v>441</v>
      </c>
      <c r="B53" s="149" t="s">
        <v>223</v>
      </c>
      <c r="C53" s="150" t="s">
        <v>223</v>
      </c>
      <c r="D53" s="150" t="s">
        <v>223</v>
      </c>
      <c r="E53" s="149"/>
      <c r="F53" s="151">
        <v>45705</v>
      </c>
      <c r="G53" s="151">
        <v>45705</v>
      </c>
      <c r="H53" s="154"/>
      <c r="I53" s="154"/>
      <c r="J53" s="154"/>
      <c r="K53" s="154"/>
      <c r="L53" s="154"/>
      <c r="M53" s="154"/>
      <c r="N53" s="154"/>
      <c r="O53" s="149"/>
      <c r="P53" s="149"/>
      <c r="Q53" s="153">
        <v>0</v>
      </c>
      <c r="R53" s="153">
        <v>0</v>
      </c>
      <c r="S53" s="153"/>
      <c r="T53" s="178"/>
      <c r="U53" s="153"/>
      <c r="V53" s="153"/>
      <c r="W53" s="153"/>
      <c r="X53" s="149"/>
      <c r="Y53" s="179">
        <f ca="1">Table210[[#This Row],[End Date]]+2-TODAY()</f>
        <v>-70</v>
      </c>
      <c r="Z53" s="153">
        <f>IF(ISBLANK(Table210[[#This Row],[Roster Received By]]),1,0)</f>
        <v>1</v>
      </c>
      <c r="AA53" s="153">
        <f ca="1">IF(Table210[[#This Row],[Start Date]]&gt;TODAY(),1,)</f>
        <v>0</v>
      </c>
    </row>
    <row r="54" spans="1:27" s="103" customFormat="1" ht="16.5" customHeight="1" x14ac:dyDescent="0.25">
      <c r="A54" s="148" t="s">
        <v>442</v>
      </c>
      <c r="B54" s="149" t="s">
        <v>223</v>
      </c>
      <c r="C54" s="150" t="s">
        <v>223</v>
      </c>
      <c r="D54" s="150" t="s">
        <v>223</v>
      </c>
      <c r="E54" s="177"/>
      <c r="F54" s="151">
        <v>45803</v>
      </c>
      <c r="G54" s="151">
        <v>45803</v>
      </c>
      <c r="H54" s="180"/>
      <c r="I54" s="180"/>
      <c r="J54" s="151"/>
      <c r="K54" s="151"/>
      <c r="L54" s="151"/>
      <c r="M54" s="151"/>
      <c r="N54" s="151"/>
      <c r="O54" s="149"/>
      <c r="P54" s="149"/>
      <c r="Q54" s="153">
        <v>0</v>
      </c>
      <c r="R54" s="153">
        <v>0</v>
      </c>
      <c r="S54" s="153"/>
      <c r="T54" s="178"/>
      <c r="U54" s="153"/>
      <c r="V54" s="153"/>
      <c r="W54" s="153"/>
      <c r="X54" s="149"/>
      <c r="Y54" s="179">
        <f ca="1">Table210[[#This Row],[End Date]]+2-TODAY()</f>
        <v>28</v>
      </c>
      <c r="Z54" s="153">
        <f>IF(ISBLANK(Table210[[#This Row],[Roster Received By]]),1,0)</f>
        <v>1</v>
      </c>
      <c r="AA54" s="153">
        <f ca="1">IF(Table210[[#This Row],[Start Date]]&gt;TODAY(),1,)</f>
        <v>1</v>
      </c>
    </row>
    <row r="55" spans="1:27" s="103" customFormat="1" ht="14.25" customHeight="1" x14ac:dyDescent="0.25">
      <c r="A55" s="148" t="s">
        <v>443</v>
      </c>
      <c r="B55" s="149" t="s">
        <v>223</v>
      </c>
      <c r="C55" s="150" t="s">
        <v>223</v>
      </c>
      <c r="D55" s="150" t="s">
        <v>223</v>
      </c>
      <c r="E55" s="177"/>
      <c r="F55" s="151">
        <v>45827</v>
      </c>
      <c r="G55" s="151">
        <v>45827</v>
      </c>
      <c r="H55" s="180"/>
      <c r="I55" s="180"/>
      <c r="J55" s="151"/>
      <c r="K55" s="151"/>
      <c r="L55" s="151"/>
      <c r="M55" s="151"/>
      <c r="N55" s="151"/>
      <c r="O55" s="149"/>
      <c r="P55" s="149"/>
      <c r="Q55" s="153">
        <v>0</v>
      </c>
      <c r="R55" s="153">
        <v>0</v>
      </c>
      <c r="S55" s="153"/>
      <c r="T55" s="178"/>
      <c r="U55" s="153"/>
      <c r="V55" s="153"/>
      <c r="W55" s="153"/>
      <c r="X55" s="149"/>
      <c r="Y55" s="179">
        <f ca="1">Table210[[#This Row],[End Date]]+2-TODAY()</f>
        <v>52</v>
      </c>
      <c r="Z55" s="153">
        <f>IF(ISBLANK(Table210[[#This Row],[Roster Received By]]),1,0)</f>
        <v>1</v>
      </c>
      <c r="AA55" s="153">
        <f ca="1">IF(Table210[[#This Row],[Start Date]]&gt;TODAY(),1,)</f>
        <v>1</v>
      </c>
    </row>
    <row r="56" spans="1:27" s="103" customFormat="1" ht="14.25" customHeight="1" x14ac:dyDescent="0.25">
      <c r="A56" s="148" t="s">
        <v>444</v>
      </c>
      <c r="B56" s="149" t="s">
        <v>223</v>
      </c>
      <c r="C56" s="150" t="s">
        <v>223</v>
      </c>
      <c r="D56" s="150" t="s">
        <v>223</v>
      </c>
      <c r="E56" s="177"/>
      <c r="F56" s="151">
        <v>45842</v>
      </c>
      <c r="G56" s="151">
        <v>45842</v>
      </c>
      <c r="H56" s="180"/>
      <c r="I56" s="180"/>
      <c r="J56" s="151"/>
      <c r="K56" s="151"/>
      <c r="L56" s="151"/>
      <c r="M56" s="151"/>
      <c r="N56" s="151"/>
      <c r="O56" s="149"/>
      <c r="P56" s="149"/>
      <c r="Q56" s="153">
        <v>0</v>
      </c>
      <c r="R56" s="153">
        <v>0</v>
      </c>
      <c r="S56" s="153"/>
      <c r="T56" s="178"/>
      <c r="U56" s="153"/>
      <c r="V56" s="153"/>
      <c r="W56" s="150"/>
      <c r="X56" s="149"/>
      <c r="Y56" s="179">
        <f ca="1">Table210[[#This Row],[End Date]]+2-TODAY()</f>
        <v>67</v>
      </c>
      <c r="Z56" s="153">
        <f>IF(ISBLANK(Table210[[#This Row],[Roster Received By]]),1,0)</f>
        <v>1</v>
      </c>
      <c r="AA56" s="153">
        <f ca="1">IF(Table210[[#This Row],[Start Date]]&gt;TODAY(),1,)</f>
        <v>1</v>
      </c>
    </row>
    <row r="57" spans="1:27" s="103" customFormat="1" ht="14.25" customHeight="1" x14ac:dyDescent="0.25">
      <c r="A57" s="148" t="s">
        <v>445</v>
      </c>
      <c r="B57" s="181" t="s">
        <v>223</v>
      </c>
      <c r="C57" s="150" t="s">
        <v>223</v>
      </c>
      <c r="D57" s="150" t="s">
        <v>223</v>
      </c>
      <c r="E57" s="177"/>
      <c r="F57" s="151">
        <v>45901</v>
      </c>
      <c r="G57" s="151">
        <v>45901</v>
      </c>
      <c r="H57" s="154"/>
      <c r="I57" s="154"/>
      <c r="J57" s="151"/>
      <c r="K57" s="151"/>
      <c r="L57" s="151"/>
      <c r="M57" s="151"/>
      <c r="N57" s="151"/>
      <c r="O57" s="149"/>
      <c r="P57" s="149"/>
      <c r="Q57" s="153">
        <v>0</v>
      </c>
      <c r="R57" s="153">
        <v>0</v>
      </c>
      <c r="S57" s="153"/>
      <c r="T57" s="178"/>
      <c r="U57" s="153"/>
      <c r="V57" s="153"/>
      <c r="W57" s="153"/>
      <c r="X57" s="149"/>
      <c r="Y57" s="179">
        <f ca="1">Table210[[#This Row],[End Date]]+2-TODAY()</f>
        <v>126</v>
      </c>
      <c r="Z57" s="153">
        <f>IF(ISBLANK(Table210[[#This Row],[Roster Received By]]),1,0)</f>
        <v>1</v>
      </c>
      <c r="AA57" s="153">
        <f ca="1">IF(Table210[[#This Row],[Start Date]]&gt;TODAY(),1,)</f>
        <v>1</v>
      </c>
    </row>
    <row r="58" spans="1:27" s="103" customFormat="1" ht="16.5" customHeight="1" x14ac:dyDescent="0.25">
      <c r="A58" s="97"/>
      <c r="B58" s="113" t="s">
        <v>39</v>
      </c>
      <c r="C58" s="97" t="s">
        <v>146</v>
      </c>
      <c r="D58" s="97" t="s">
        <v>147</v>
      </c>
      <c r="E58" s="96"/>
      <c r="F58" s="99">
        <v>45565</v>
      </c>
      <c r="G58" s="99">
        <v>45568</v>
      </c>
      <c r="H58" s="102"/>
      <c r="I58" s="102">
        <v>0.54166666666666663</v>
      </c>
      <c r="J58" s="99"/>
      <c r="K58" s="99"/>
      <c r="L58" s="99"/>
      <c r="M58" s="99"/>
      <c r="N58" s="99"/>
      <c r="O58" s="96" t="s">
        <v>272</v>
      </c>
      <c r="P58" s="96"/>
      <c r="Q58" s="213">
        <v>45</v>
      </c>
      <c r="R58" s="300">
        <v>4</v>
      </c>
      <c r="S58" s="213"/>
      <c r="T58" s="213"/>
      <c r="U58" s="104"/>
      <c r="V58" s="104"/>
      <c r="W58" s="104"/>
      <c r="X58" s="104"/>
      <c r="Y58" s="301">
        <f ca="1">Table210[[#This Row],[End Date]]+2-TODAY()</f>
        <v>-207</v>
      </c>
      <c r="Z58" s="97">
        <f>IF(ISBLANK(Table210[[#This Row],[Roster Received By]]),1,0)</f>
        <v>1</v>
      </c>
      <c r="AA58" s="97">
        <f ca="1">IF(Table210[[#This Row],[Start Date]]&gt;TODAY(),1,)</f>
        <v>0</v>
      </c>
    </row>
    <row r="59" spans="1:27" s="103" customFormat="1" ht="16.5" customHeight="1" x14ac:dyDescent="0.25">
      <c r="A59" s="96"/>
      <c r="B59" s="114" t="s">
        <v>39</v>
      </c>
      <c r="C59" s="97" t="s">
        <v>146</v>
      </c>
      <c r="D59" s="97" t="s">
        <v>147</v>
      </c>
      <c r="E59" s="96"/>
      <c r="F59" s="99">
        <v>45585</v>
      </c>
      <c r="G59" s="99">
        <v>45589</v>
      </c>
      <c r="H59" s="102"/>
      <c r="I59" s="102">
        <v>0.79166666666666663</v>
      </c>
      <c r="J59" s="99"/>
      <c r="K59" s="99"/>
      <c r="L59" s="99"/>
      <c r="M59" s="99"/>
      <c r="N59" s="99"/>
      <c r="O59" s="96" t="s">
        <v>272</v>
      </c>
      <c r="P59" s="96"/>
      <c r="Q59" s="100">
        <v>45</v>
      </c>
      <c r="R59" s="300">
        <v>4</v>
      </c>
      <c r="S59" s="100"/>
      <c r="T59" s="100"/>
      <c r="U59" s="15"/>
      <c r="V59" s="15"/>
      <c r="W59" s="15"/>
      <c r="X59" s="96"/>
      <c r="Y59" s="69">
        <f ca="1">Table210[[#This Row],[End Date]]+2-TODAY()</f>
        <v>-186</v>
      </c>
      <c r="Z59" s="15">
        <f>IF(ISBLANK(Table210[[#This Row],[Roster Received By]]),1,0)</f>
        <v>1</v>
      </c>
      <c r="AA59" s="15">
        <f ca="1">IF(Table210[[#This Row],[Start Date]]&gt;TODAY(),1,)</f>
        <v>0</v>
      </c>
    </row>
    <row r="60" spans="1:27" s="103" customFormat="1" ht="14.25" customHeight="1" x14ac:dyDescent="0.25">
      <c r="A60" s="61"/>
      <c r="B60" s="114" t="s">
        <v>39</v>
      </c>
      <c r="C60" s="97" t="s">
        <v>146</v>
      </c>
      <c r="D60" s="97" t="s">
        <v>147</v>
      </c>
      <c r="E60" s="96"/>
      <c r="F60" s="99">
        <v>45614</v>
      </c>
      <c r="G60" s="99">
        <v>45617</v>
      </c>
      <c r="H60" s="102"/>
      <c r="I60" s="102">
        <v>0.33333333333333331</v>
      </c>
      <c r="J60" s="99"/>
      <c r="K60" s="99"/>
      <c r="L60" s="99"/>
      <c r="M60" s="99"/>
      <c r="N60" s="99"/>
      <c r="O60" s="96" t="s">
        <v>272</v>
      </c>
      <c r="P60" s="96"/>
      <c r="Q60" s="100">
        <v>45</v>
      </c>
      <c r="R60" s="300">
        <v>4</v>
      </c>
      <c r="S60" s="100"/>
      <c r="T60" s="100"/>
      <c r="U60" s="15"/>
      <c r="V60" s="15"/>
      <c r="W60" s="97"/>
      <c r="X60" s="96"/>
      <c r="Y60" s="69">
        <f ca="1">Table210[[#This Row],[End Date]]+2-TODAY()</f>
        <v>-158</v>
      </c>
      <c r="Z60" s="15">
        <f>IF(ISBLANK(Table210[[#This Row],[Roster Received By]]),1,0)</f>
        <v>1</v>
      </c>
      <c r="AA60" s="15">
        <f ca="1">IF(Table210[[#This Row],[Start Date]]&gt;TODAY(),1,)</f>
        <v>0</v>
      </c>
    </row>
    <row r="61" spans="1:27" s="103" customFormat="1" ht="14.25" customHeight="1" x14ac:dyDescent="0.25">
      <c r="A61" s="61"/>
      <c r="B61" s="114" t="s">
        <v>39</v>
      </c>
      <c r="C61" s="97" t="s">
        <v>146</v>
      </c>
      <c r="D61" s="97" t="s">
        <v>147</v>
      </c>
      <c r="E61" s="96"/>
      <c r="F61" s="99">
        <v>45628</v>
      </c>
      <c r="G61" s="99">
        <v>45631</v>
      </c>
      <c r="H61" s="105"/>
      <c r="I61" s="102">
        <v>0.54166666666666663</v>
      </c>
      <c r="J61" s="99"/>
      <c r="K61" s="99"/>
      <c r="L61" s="99"/>
      <c r="M61" s="99"/>
      <c r="N61" s="99"/>
      <c r="O61" s="96" t="s">
        <v>272</v>
      </c>
      <c r="P61" s="96"/>
      <c r="Q61" s="100">
        <v>45</v>
      </c>
      <c r="R61" s="300">
        <v>4</v>
      </c>
      <c r="S61" s="100"/>
      <c r="T61" s="100"/>
      <c r="U61" s="15"/>
      <c r="V61" s="15"/>
      <c r="W61" s="15"/>
      <c r="X61" s="96"/>
      <c r="Y61" s="69">
        <f ca="1">Table210[[#This Row],[End Date]]+2-TODAY()</f>
        <v>-144</v>
      </c>
      <c r="Z61" s="15">
        <f>IF(ISBLANK(Table210[[#This Row],[Roster Received By]]),1,0)</f>
        <v>1</v>
      </c>
      <c r="AA61" s="15">
        <f ca="1">IF(Table210[[#This Row],[Start Date]]&gt;TODAY(),1,)</f>
        <v>0</v>
      </c>
    </row>
    <row r="62" spans="1:27" s="103" customFormat="1" ht="14.25" customHeight="1" x14ac:dyDescent="0.25">
      <c r="A62" s="61"/>
      <c r="B62" s="114" t="s">
        <v>39</v>
      </c>
      <c r="C62" s="97" t="s">
        <v>146</v>
      </c>
      <c r="D62" s="97" t="s">
        <v>147</v>
      </c>
      <c r="E62" s="96"/>
      <c r="F62" s="99">
        <v>45663</v>
      </c>
      <c r="G62" s="99">
        <v>45666</v>
      </c>
      <c r="H62" s="105"/>
      <c r="I62" s="102">
        <v>0.54166666666666663</v>
      </c>
      <c r="J62" s="99"/>
      <c r="K62" s="99"/>
      <c r="L62" s="99"/>
      <c r="M62" s="99"/>
      <c r="N62" s="99"/>
      <c r="O62" s="96" t="s">
        <v>272</v>
      </c>
      <c r="P62" s="96"/>
      <c r="Q62" s="100">
        <v>45</v>
      </c>
      <c r="R62" s="300">
        <v>4</v>
      </c>
      <c r="S62" s="100"/>
      <c r="T62" s="100"/>
      <c r="U62" s="15"/>
      <c r="V62" s="15"/>
      <c r="W62" s="15"/>
      <c r="X62" s="96"/>
      <c r="Y62" s="69">
        <f ca="1">Table210[[#This Row],[End Date]]+2-TODAY()</f>
        <v>-109</v>
      </c>
      <c r="Z62" s="15">
        <f>IF(ISBLANK(Table210[[#This Row],[Roster Received By]]),1,0)</f>
        <v>1</v>
      </c>
      <c r="AA62" s="15">
        <f ca="1">IF(Table210[[#This Row],[Start Date]]&gt;TODAY(),1,)</f>
        <v>0</v>
      </c>
    </row>
    <row r="63" spans="1:27" s="103" customFormat="1" ht="14.25" customHeight="1" x14ac:dyDescent="0.25">
      <c r="A63" s="61"/>
      <c r="B63" s="114" t="s">
        <v>39</v>
      </c>
      <c r="C63" s="97" t="s">
        <v>146</v>
      </c>
      <c r="D63" s="97" t="s">
        <v>147</v>
      </c>
      <c r="E63" s="96"/>
      <c r="F63" s="99">
        <v>45684</v>
      </c>
      <c r="G63" s="99">
        <v>45687</v>
      </c>
      <c r="H63" s="105"/>
      <c r="I63" s="102">
        <v>0.54166666666666663</v>
      </c>
      <c r="J63" s="99"/>
      <c r="K63" s="99"/>
      <c r="L63" s="99"/>
      <c r="M63" s="99"/>
      <c r="N63" s="99"/>
      <c r="O63" s="96" t="s">
        <v>272</v>
      </c>
      <c r="P63" s="96"/>
      <c r="Q63" s="100">
        <v>45</v>
      </c>
      <c r="R63" s="300">
        <v>4</v>
      </c>
      <c r="S63" s="100"/>
      <c r="T63" s="100"/>
      <c r="U63" s="15"/>
      <c r="V63" s="15"/>
      <c r="W63" s="15"/>
      <c r="X63" s="96"/>
      <c r="Y63" s="69">
        <f ca="1">Table210[[#This Row],[End Date]]+2-TODAY()</f>
        <v>-88</v>
      </c>
      <c r="Z63" s="15">
        <f>IF(ISBLANK(Table210[[#This Row],[Roster Received By]]),1,0)</f>
        <v>1</v>
      </c>
      <c r="AA63" s="15">
        <f ca="1">IF(Table210[[#This Row],[Start Date]]&gt;TODAY(),1,)</f>
        <v>0</v>
      </c>
    </row>
    <row r="64" spans="1:27" s="136" customFormat="1" ht="14.25" customHeight="1" x14ac:dyDescent="0.25">
      <c r="A64" s="61"/>
      <c r="B64" s="114" t="s">
        <v>39</v>
      </c>
      <c r="C64" s="97" t="s">
        <v>146</v>
      </c>
      <c r="D64" s="97" t="s">
        <v>147</v>
      </c>
      <c r="E64" s="96"/>
      <c r="F64" s="99">
        <v>45690</v>
      </c>
      <c r="G64" s="99">
        <v>45693</v>
      </c>
      <c r="H64" s="105"/>
      <c r="I64" s="105">
        <v>0.79166666666666663</v>
      </c>
      <c r="J64" s="99"/>
      <c r="K64" s="99"/>
      <c r="L64" s="99"/>
      <c r="M64" s="99"/>
      <c r="N64" s="99"/>
      <c r="O64" s="96" t="s">
        <v>272</v>
      </c>
      <c r="P64" s="96"/>
      <c r="Q64" s="100">
        <v>45</v>
      </c>
      <c r="R64" s="300">
        <v>4</v>
      </c>
      <c r="S64" s="100"/>
      <c r="T64" s="100"/>
      <c r="U64" s="15"/>
      <c r="V64" s="15"/>
      <c r="W64" s="15"/>
      <c r="X64" s="96"/>
      <c r="Y64" s="69">
        <f ca="1">Table210[[#This Row],[End Date]]+2-TODAY()</f>
        <v>-82</v>
      </c>
      <c r="Z64" s="15">
        <f>IF(ISBLANK(Table210[[#This Row],[Roster Received By]]),1,0)</f>
        <v>1</v>
      </c>
      <c r="AA64" s="15">
        <f ca="1">IF(Table210[[#This Row],[Start Date]]&gt;TODAY(),1,)</f>
        <v>0</v>
      </c>
    </row>
    <row r="65" spans="1:27" s="132" customFormat="1" ht="14.25" customHeight="1" x14ac:dyDescent="0.25">
      <c r="A65" s="61"/>
      <c r="B65" s="114" t="s">
        <v>39</v>
      </c>
      <c r="C65" s="97" t="s">
        <v>146</v>
      </c>
      <c r="D65" s="97" t="s">
        <v>147</v>
      </c>
      <c r="E65" s="96"/>
      <c r="F65" s="99">
        <v>45712</v>
      </c>
      <c r="G65" s="99">
        <v>45715</v>
      </c>
      <c r="H65" s="102"/>
      <c r="I65" s="102">
        <v>0.33333333333333331</v>
      </c>
      <c r="J65" s="99"/>
      <c r="K65" s="99"/>
      <c r="L65" s="99"/>
      <c r="M65" s="99"/>
      <c r="N65" s="99"/>
      <c r="O65" s="96" t="s">
        <v>272</v>
      </c>
      <c r="P65" s="96"/>
      <c r="Q65" s="100">
        <v>45</v>
      </c>
      <c r="R65" s="300">
        <v>4</v>
      </c>
      <c r="S65" s="100"/>
      <c r="T65" s="100"/>
      <c r="U65" s="15"/>
      <c r="V65" s="15"/>
      <c r="W65" s="15"/>
      <c r="X65" s="96"/>
      <c r="Y65" s="69">
        <f ca="1">Table210[[#This Row],[End Date]]+2-TODAY()</f>
        <v>-60</v>
      </c>
      <c r="Z65" s="15">
        <f>IF(ISBLANK(Table210[[#This Row],[Roster Received By]]),1,0)</f>
        <v>1</v>
      </c>
      <c r="AA65" s="15">
        <f ca="1">IF(Table210[[#This Row],[Start Date]]&gt;TODAY(),1,)</f>
        <v>0</v>
      </c>
    </row>
    <row r="66" spans="1:27" s="132" customFormat="1" ht="14.25" customHeight="1" x14ac:dyDescent="0.25">
      <c r="A66" s="61"/>
      <c r="B66" s="114" t="s">
        <v>39</v>
      </c>
      <c r="C66" s="97" t="s">
        <v>146</v>
      </c>
      <c r="D66" s="97" t="s">
        <v>147</v>
      </c>
      <c r="E66" s="96"/>
      <c r="F66" s="99">
        <v>45719</v>
      </c>
      <c r="G66" s="99">
        <v>45722</v>
      </c>
      <c r="H66" s="102"/>
      <c r="I66" s="102">
        <v>0.54166666666666663</v>
      </c>
      <c r="J66" s="99"/>
      <c r="K66" s="99"/>
      <c r="L66" s="99"/>
      <c r="M66" s="99"/>
      <c r="N66" s="99"/>
      <c r="O66" s="96" t="s">
        <v>272</v>
      </c>
      <c r="P66" s="96"/>
      <c r="Q66" s="100">
        <v>45</v>
      </c>
      <c r="R66" s="300">
        <v>4</v>
      </c>
      <c r="S66" s="100"/>
      <c r="T66" s="100"/>
      <c r="U66" s="15"/>
      <c r="V66" s="15"/>
      <c r="W66" s="15"/>
      <c r="X66" s="96"/>
      <c r="Y66" s="69">
        <f ca="1">Table210[[#This Row],[End Date]]+2-TODAY()</f>
        <v>-53</v>
      </c>
      <c r="Z66" s="15">
        <f>IF(ISBLANK(Table210[[#This Row],[Roster Received By]]),1,0)</f>
        <v>1</v>
      </c>
      <c r="AA66" s="15">
        <f ca="1">IF(Table210[[#This Row],[Start Date]]&gt;TODAY(),1,)</f>
        <v>0</v>
      </c>
    </row>
    <row r="67" spans="1:27" s="103" customFormat="1" ht="14.25" customHeight="1" x14ac:dyDescent="0.25">
      <c r="A67" s="61"/>
      <c r="B67" s="114" t="s">
        <v>39</v>
      </c>
      <c r="C67" s="97" t="s">
        <v>146</v>
      </c>
      <c r="D67" s="97" t="s">
        <v>147</v>
      </c>
      <c r="E67" s="96"/>
      <c r="F67" s="99">
        <v>45733</v>
      </c>
      <c r="G67" s="99">
        <v>45736</v>
      </c>
      <c r="H67" s="102"/>
      <c r="I67" s="102">
        <v>0.54166666666666663</v>
      </c>
      <c r="J67" s="99"/>
      <c r="K67" s="99"/>
      <c r="L67" s="99"/>
      <c r="M67" s="99"/>
      <c r="N67" s="99"/>
      <c r="O67" s="96" t="s">
        <v>272</v>
      </c>
      <c r="P67" s="96"/>
      <c r="Q67" s="100">
        <v>45</v>
      </c>
      <c r="R67" s="300">
        <v>4</v>
      </c>
      <c r="S67" s="100"/>
      <c r="T67" s="100"/>
      <c r="U67" s="15"/>
      <c r="V67" s="15"/>
      <c r="W67" s="15"/>
      <c r="X67" s="96"/>
      <c r="Y67" s="69">
        <f ca="1">Table210[[#This Row],[End Date]]+2-TODAY()</f>
        <v>-39</v>
      </c>
      <c r="Z67" s="15">
        <f>IF(ISBLANK(Table210[[#This Row],[Roster Received By]]),1,0)</f>
        <v>1</v>
      </c>
      <c r="AA67" s="15">
        <f ca="1">IF(Table210[[#This Row],[Start Date]]&gt;TODAY(),1,)</f>
        <v>0</v>
      </c>
    </row>
    <row r="68" spans="1:27" s="103" customFormat="1" ht="14.25" customHeight="1" x14ac:dyDescent="0.25">
      <c r="A68" s="61"/>
      <c r="B68" s="114" t="s">
        <v>39</v>
      </c>
      <c r="C68" s="97" t="s">
        <v>146</v>
      </c>
      <c r="D68" s="97" t="s">
        <v>147</v>
      </c>
      <c r="E68" s="96"/>
      <c r="F68" s="99">
        <v>45747</v>
      </c>
      <c r="G68" s="99">
        <v>45750</v>
      </c>
      <c r="H68" s="102"/>
      <c r="I68" s="102">
        <v>0.54166666666666663</v>
      </c>
      <c r="J68" s="99"/>
      <c r="K68" s="99"/>
      <c r="L68" s="99"/>
      <c r="M68" s="99"/>
      <c r="N68" s="99"/>
      <c r="O68" s="96" t="s">
        <v>272</v>
      </c>
      <c r="P68" s="96"/>
      <c r="Q68" s="100">
        <v>45</v>
      </c>
      <c r="R68" s="300">
        <v>4</v>
      </c>
      <c r="S68" s="100"/>
      <c r="T68" s="100"/>
      <c r="U68" s="15"/>
      <c r="V68" s="15"/>
      <c r="W68" s="15"/>
      <c r="X68" s="96"/>
      <c r="Y68" s="69">
        <f ca="1">Table210[[#This Row],[End Date]]+2-TODAY()</f>
        <v>-25</v>
      </c>
      <c r="Z68" s="15">
        <f>IF(ISBLANK(Table210[[#This Row],[Roster Received By]]),1,0)</f>
        <v>1</v>
      </c>
      <c r="AA68" s="15">
        <f ca="1">IF(Table210[[#This Row],[Start Date]]&gt;TODAY(),1,)</f>
        <v>0</v>
      </c>
    </row>
    <row r="69" spans="1:27" s="103" customFormat="1" ht="14.25" customHeight="1" x14ac:dyDescent="0.25">
      <c r="A69" s="61"/>
      <c r="B69" s="114" t="s">
        <v>39</v>
      </c>
      <c r="C69" s="97" t="s">
        <v>146</v>
      </c>
      <c r="D69" s="97" t="s">
        <v>147</v>
      </c>
      <c r="E69" s="96"/>
      <c r="F69" s="99">
        <v>45781</v>
      </c>
      <c r="G69" s="99">
        <v>45784</v>
      </c>
      <c r="H69" s="102"/>
      <c r="I69" s="102">
        <v>0.79166666666666663</v>
      </c>
      <c r="J69" s="99"/>
      <c r="K69" s="99"/>
      <c r="L69" s="99"/>
      <c r="M69" s="99"/>
      <c r="N69" s="99"/>
      <c r="O69" s="96" t="s">
        <v>272</v>
      </c>
      <c r="P69" s="96"/>
      <c r="Q69" s="100">
        <v>45</v>
      </c>
      <c r="R69" s="300">
        <v>4</v>
      </c>
      <c r="S69" s="100"/>
      <c r="T69" s="100"/>
      <c r="U69" s="15"/>
      <c r="V69" s="15"/>
      <c r="W69" s="15"/>
      <c r="X69" s="96"/>
      <c r="Y69" s="69">
        <f ca="1">Table210[[#This Row],[End Date]]+2-TODAY()</f>
        <v>9</v>
      </c>
      <c r="Z69" s="15">
        <f>IF(ISBLANK(Table210[[#This Row],[Roster Received By]]),1,0)</f>
        <v>1</v>
      </c>
      <c r="AA69" s="15">
        <f ca="1">IF(Table210[[#This Row],[Start Date]]&gt;TODAY(),1,)</f>
        <v>1</v>
      </c>
    </row>
    <row r="70" spans="1:27" s="103" customFormat="1" ht="14.25" customHeight="1" x14ac:dyDescent="0.25">
      <c r="A70" s="61"/>
      <c r="B70" s="96" t="s">
        <v>39</v>
      </c>
      <c r="C70" s="97" t="s">
        <v>146</v>
      </c>
      <c r="D70" s="97" t="s">
        <v>147</v>
      </c>
      <c r="E70" s="96"/>
      <c r="F70" s="99">
        <v>45796</v>
      </c>
      <c r="G70" s="99">
        <v>45799</v>
      </c>
      <c r="H70" s="102"/>
      <c r="I70" s="102">
        <v>0.33333333333333331</v>
      </c>
      <c r="J70" s="99"/>
      <c r="K70" s="99"/>
      <c r="L70" s="99"/>
      <c r="M70" s="99"/>
      <c r="N70" s="99"/>
      <c r="O70" s="96" t="s">
        <v>272</v>
      </c>
      <c r="P70" s="96"/>
      <c r="Q70" s="100">
        <v>45</v>
      </c>
      <c r="R70" s="300">
        <v>4</v>
      </c>
      <c r="S70" s="100"/>
      <c r="T70" s="100"/>
      <c r="U70" s="15"/>
      <c r="V70" s="15"/>
      <c r="W70" s="15"/>
      <c r="X70" s="96"/>
      <c r="Y70" s="69">
        <f ca="1">Table210[[#This Row],[End Date]]+2-TODAY()</f>
        <v>24</v>
      </c>
      <c r="Z70" s="15">
        <f>IF(ISBLANK(Table210[[#This Row],[Roster Received By]]),1,0)</f>
        <v>1</v>
      </c>
      <c r="AA70" s="15">
        <f ca="1">IF(Table210[[#This Row],[Start Date]]&gt;TODAY(),1,)</f>
        <v>1</v>
      </c>
    </row>
    <row r="71" spans="1:27" s="103" customFormat="1" ht="14.25" customHeight="1" x14ac:dyDescent="0.25">
      <c r="A71" s="61"/>
      <c r="B71" s="96" t="s">
        <v>39</v>
      </c>
      <c r="C71" s="97" t="s">
        <v>146</v>
      </c>
      <c r="D71" s="97" t="s">
        <v>147</v>
      </c>
      <c r="E71" s="96"/>
      <c r="F71" s="99">
        <v>45817</v>
      </c>
      <c r="G71" s="99">
        <v>45820</v>
      </c>
      <c r="H71" s="105"/>
      <c r="I71" s="105">
        <v>0.54166666666666663</v>
      </c>
      <c r="J71" s="99"/>
      <c r="K71" s="99"/>
      <c r="L71" s="99"/>
      <c r="M71" s="99"/>
      <c r="N71" s="99"/>
      <c r="O71" s="96" t="s">
        <v>272</v>
      </c>
      <c r="P71" s="96"/>
      <c r="Q71" s="100">
        <v>45</v>
      </c>
      <c r="R71" s="300">
        <v>4</v>
      </c>
      <c r="S71" s="100"/>
      <c r="T71" s="100"/>
      <c r="U71" s="15"/>
      <c r="V71" s="15"/>
      <c r="W71" s="15"/>
      <c r="X71" s="96"/>
      <c r="Y71" s="69">
        <f ca="1">Table210[[#This Row],[End Date]]+2-TODAY()</f>
        <v>45</v>
      </c>
      <c r="Z71" s="15">
        <f>IF(ISBLANK(Table210[[#This Row],[Roster Received By]]),1,0)</f>
        <v>1</v>
      </c>
      <c r="AA71" s="15">
        <f ca="1">IF(Table210[[#This Row],[Start Date]]&gt;TODAY(),1,)</f>
        <v>1</v>
      </c>
    </row>
    <row r="72" spans="1:27" s="103" customFormat="1" ht="16.5" customHeight="1" x14ac:dyDescent="0.25">
      <c r="A72" s="61"/>
      <c r="B72" s="96" t="s">
        <v>39</v>
      </c>
      <c r="C72" s="97" t="s">
        <v>146</v>
      </c>
      <c r="D72" s="97" t="s">
        <v>147</v>
      </c>
      <c r="E72" s="96"/>
      <c r="F72" s="99">
        <v>45845</v>
      </c>
      <c r="G72" s="99">
        <v>45848</v>
      </c>
      <c r="H72" s="105"/>
      <c r="I72" s="105">
        <v>0.54166666666666663</v>
      </c>
      <c r="J72" s="99"/>
      <c r="K72" s="99"/>
      <c r="L72" s="99"/>
      <c r="M72" s="99"/>
      <c r="N72" s="99"/>
      <c r="O72" s="96" t="s">
        <v>272</v>
      </c>
      <c r="P72" s="96"/>
      <c r="Q72" s="100">
        <v>45</v>
      </c>
      <c r="R72" s="300">
        <v>4</v>
      </c>
      <c r="S72" s="100"/>
      <c r="T72" s="100"/>
      <c r="U72" s="15"/>
      <c r="V72" s="15"/>
      <c r="W72" s="97"/>
      <c r="X72" s="96"/>
      <c r="Y72" s="69">
        <f ca="1">Table210[[#This Row],[End Date]]+2-TODAY()</f>
        <v>73</v>
      </c>
      <c r="Z72" s="15">
        <f>IF(ISBLANK(Table210[[#This Row],[Roster Received By]]),1,0)</f>
        <v>1</v>
      </c>
      <c r="AA72" s="15">
        <f ca="1">IF(Table210[[#This Row],[Start Date]]&gt;TODAY(),1,)</f>
        <v>1</v>
      </c>
    </row>
    <row r="73" spans="1:27" s="103" customFormat="1" ht="14.25" customHeight="1" x14ac:dyDescent="0.25">
      <c r="A73" s="61"/>
      <c r="B73" s="96" t="s">
        <v>39</v>
      </c>
      <c r="C73" s="97" t="s">
        <v>146</v>
      </c>
      <c r="D73" s="97" t="s">
        <v>147</v>
      </c>
      <c r="E73" s="96"/>
      <c r="F73" s="99">
        <v>45865</v>
      </c>
      <c r="G73" s="99">
        <v>45869</v>
      </c>
      <c r="H73" s="105"/>
      <c r="I73" s="105">
        <v>0.79166666666666663</v>
      </c>
      <c r="J73" s="99"/>
      <c r="K73" s="99"/>
      <c r="L73" s="99"/>
      <c r="M73" s="99"/>
      <c r="N73" s="99"/>
      <c r="O73" s="96" t="s">
        <v>272</v>
      </c>
      <c r="P73" s="96"/>
      <c r="Q73" s="100">
        <v>45</v>
      </c>
      <c r="R73" s="300">
        <v>4</v>
      </c>
      <c r="S73" s="100"/>
      <c r="T73" s="100"/>
      <c r="U73" s="15"/>
      <c r="V73" s="15"/>
      <c r="W73" s="97"/>
      <c r="X73" s="96"/>
      <c r="Y73" s="69">
        <f ca="1">Table210[[#This Row],[End Date]]+2-TODAY()</f>
        <v>94</v>
      </c>
      <c r="Z73" s="15">
        <f>IF(ISBLANK(Table210[[#This Row],[Roster Received By]]),1,0)</f>
        <v>1</v>
      </c>
      <c r="AA73" s="15">
        <f ca="1">IF(Table210[[#This Row],[Start Date]]&gt;TODAY(),1,)</f>
        <v>1</v>
      </c>
    </row>
    <row r="74" spans="1:27" s="103" customFormat="1" ht="16.5" customHeight="1" x14ac:dyDescent="0.25">
      <c r="A74" s="61"/>
      <c r="B74" s="96" t="s">
        <v>39</v>
      </c>
      <c r="C74" s="97" t="s">
        <v>146</v>
      </c>
      <c r="D74" s="97" t="s">
        <v>147</v>
      </c>
      <c r="E74" s="96"/>
      <c r="F74" s="99">
        <v>45880</v>
      </c>
      <c r="G74" s="99">
        <v>45883</v>
      </c>
      <c r="H74" s="105"/>
      <c r="I74" s="105">
        <v>0.54166666666666663</v>
      </c>
      <c r="J74" s="99"/>
      <c r="K74" s="99"/>
      <c r="L74" s="99"/>
      <c r="M74" s="99"/>
      <c r="N74" s="99"/>
      <c r="O74" s="96" t="s">
        <v>272</v>
      </c>
      <c r="P74" s="96"/>
      <c r="Q74" s="100">
        <v>45</v>
      </c>
      <c r="R74" s="300">
        <v>4</v>
      </c>
      <c r="S74" s="100"/>
      <c r="T74" s="100"/>
      <c r="U74" s="15"/>
      <c r="V74" s="15"/>
      <c r="W74" s="97"/>
      <c r="X74" s="96"/>
      <c r="Y74" s="69">
        <f ca="1">Table210[[#This Row],[End Date]]+2-TODAY()</f>
        <v>108</v>
      </c>
      <c r="Z74" s="15">
        <f>IF(ISBLANK(Table210[[#This Row],[Roster Received By]]),1,0)</f>
        <v>1</v>
      </c>
      <c r="AA74" s="15">
        <f ca="1">IF(Table210[[#This Row],[Start Date]]&gt;TODAY(),1,)</f>
        <v>1</v>
      </c>
    </row>
    <row r="75" spans="1:27" s="132" customFormat="1" ht="14.25" customHeight="1" x14ac:dyDescent="0.25">
      <c r="A75" s="61"/>
      <c r="B75" s="96" t="s">
        <v>39</v>
      </c>
      <c r="C75" s="97" t="s">
        <v>146</v>
      </c>
      <c r="D75" s="97" t="s">
        <v>147</v>
      </c>
      <c r="E75" s="64"/>
      <c r="F75" s="99">
        <v>45908</v>
      </c>
      <c r="G75" s="99">
        <v>45911</v>
      </c>
      <c r="H75" s="105"/>
      <c r="I75" s="105">
        <v>0.54166666666666663</v>
      </c>
      <c r="J75" s="99"/>
      <c r="K75" s="99"/>
      <c r="L75" s="99"/>
      <c r="M75" s="99"/>
      <c r="N75" s="99"/>
      <c r="O75" s="96" t="s">
        <v>272</v>
      </c>
      <c r="P75" s="96"/>
      <c r="Q75" s="15">
        <v>45</v>
      </c>
      <c r="R75" s="211">
        <v>4</v>
      </c>
      <c r="S75" s="15"/>
      <c r="T75" s="100"/>
      <c r="U75" s="15"/>
      <c r="V75" s="15"/>
      <c r="W75" s="15"/>
      <c r="X75" s="96"/>
      <c r="Y75" s="69">
        <f ca="1">Table210[[#This Row],[End Date]]+2-TODAY()</f>
        <v>136</v>
      </c>
      <c r="Z75" s="15">
        <f>IF(ISBLANK(Table210[[#This Row],[Roster Received By]]),1,0)</f>
        <v>1</v>
      </c>
      <c r="AA75" s="15">
        <f ca="1">IF(Table210[[#This Row],[Start Date]]&gt;TODAY(),1,)</f>
        <v>1</v>
      </c>
    </row>
    <row r="76" spans="1:27" s="103" customFormat="1" ht="14.25" customHeight="1" x14ac:dyDescent="0.25">
      <c r="A76" s="148" t="s">
        <v>446</v>
      </c>
      <c r="B76" s="149" t="s">
        <v>355</v>
      </c>
      <c r="C76" s="150" t="s">
        <v>356</v>
      </c>
      <c r="D76" s="150" t="s">
        <v>356</v>
      </c>
      <c r="E76" s="149"/>
      <c r="F76" s="151">
        <v>45761</v>
      </c>
      <c r="G76" s="151">
        <v>45765</v>
      </c>
      <c r="H76" s="151"/>
      <c r="I76" s="152"/>
      <c r="J76" s="154"/>
      <c r="K76" s="154"/>
      <c r="L76" s="154"/>
      <c r="M76" s="154"/>
      <c r="N76" s="154"/>
      <c r="O76" s="149"/>
      <c r="P76" s="149"/>
      <c r="Q76" s="153">
        <v>0</v>
      </c>
      <c r="R76" s="153">
        <v>0</v>
      </c>
      <c r="S76" s="153"/>
      <c r="T76" s="178"/>
      <c r="U76" s="153"/>
      <c r="V76" s="153"/>
      <c r="W76" s="153"/>
      <c r="X76" s="149"/>
      <c r="Y76" s="179">
        <f ca="1">Table210[[#This Row],[End Date]]+2-TODAY()</f>
        <v>-10</v>
      </c>
      <c r="Z76" s="153">
        <f>IF(ISBLANK(Table210[[#This Row],[Roster Received By]]),1,0)</f>
        <v>1</v>
      </c>
      <c r="AA76" s="153">
        <f ca="1">IF(Table210[[#This Row],[Start Date]]&gt;TODAY(),1,)</f>
        <v>0</v>
      </c>
    </row>
    <row r="77" spans="1:27" s="103" customFormat="1" ht="14.25" customHeight="1" x14ac:dyDescent="0.25">
      <c r="A77" s="148" t="s">
        <v>447</v>
      </c>
      <c r="B77" s="149" t="s">
        <v>355</v>
      </c>
      <c r="C77" s="150" t="s">
        <v>356</v>
      </c>
      <c r="D77" s="150" t="s">
        <v>356</v>
      </c>
      <c r="E77" s="149"/>
      <c r="F77" s="151">
        <v>45768</v>
      </c>
      <c r="G77" s="151">
        <v>45773</v>
      </c>
      <c r="H77" s="151"/>
      <c r="I77" s="152"/>
      <c r="J77" s="154"/>
      <c r="K77" s="154"/>
      <c r="L77" s="154"/>
      <c r="M77" s="154"/>
      <c r="N77" s="154"/>
      <c r="O77" s="149"/>
      <c r="P77" s="149"/>
      <c r="Q77" s="153">
        <v>0</v>
      </c>
      <c r="R77" s="153">
        <v>0</v>
      </c>
      <c r="S77" s="153"/>
      <c r="T77" s="178"/>
      <c r="U77" s="153"/>
      <c r="V77" s="153"/>
      <c r="W77" s="153"/>
      <c r="X77" s="149"/>
      <c r="Y77" s="179">
        <f ca="1">Table210[[#This Row],[End Date]]+2-TODAY()</f>
        <v>-2</v>
      </c>
      <c r="Z77" s="153">
        <f>IF(ISBLANK(Table210[[#This Row],[Roster Received By]]),1,0)</f>
        <v>1</v>
      </c>
      <c r="AA77" s="153">
        <f ca="1">IF(Table210[[#This Row],[Start Date]]&gt;TODAY(),1,)</f>
        <v>0</v>
      </c>
    </row>
    <row r="78" spans="1:27" s="103" customFormat="1" ht="14.25" customHeight="1" x14ac:dyDescent="0.25">
      <c r="A78" s="97"/>
      <c r="B78" s="96" t="s">
        <v>40</v>
      </c>
      <c r="C78" s="97" t="s">
        <v>150</v>
      </c>
      <c r="D78" s="97" t="s">
        <v>151</v>
      </c>
      <c r="E78" s="96"/>
      <c r="F78" s="99">
        <v>45565</v>
      </c>
      <c r="G78" s="99">
        <v>45569</v>
      </c>
      <c r="H78" s="102"/>
      <c r="I78" s="102">
        <v>0.33333333333333331</v>
      </c>
      <c r="J78" s="99"/>
      <c r="K78" s="99"/>
      <c r="L78" s="99"/>
      <c r="M78" s="99"/>
      <c r="N78" s="99"/>
      <c r="O78" s="96" t="s">
        <v>426</v>
      </c>
      <c r="P78" s="96"/>
      <c r="Q78" s="213">
        <v>100</v>
      </c>
      <c r="R78" s="300">
        <v>5</v>
      </c>
      <c r="S78" s="213"/>
      <c r="T78" s="213"/>
      <c r="U78" s="104"/>
      <c r="V78" s="104"/>
      <c r="W78" s="104"/>
      <c r="X78" s="104"/>
      <c r="Y78" s="301">
        <f ca="1">Table210[[#This Row],[End Date]]+2-TODAY()</f>
        <v>-206</v>
      </c>
      <c r="Z78" s="97">
        <f>IF(ISBLANK(Table210[[#This Row],[Roster Received By]]),1,0)</f>
        <v>1</v>
      </c>
      <c r="AA78" s="97">
        <f ca="1">IF(Table210[[#This Row],[Start Date]]&gt;TODAY(),1,)</f>
        <v>0</v>
      </c>
    </row>
    <row r="79" spans="1:27" s="103" customFormat="1" ht="14.25" customHeight="1" x14ac:dyDescent="0.25">
      <c r="A79" s="96"/>
      <c r="B79" s="96" t="s">
        <v>40</v>
      </c>
      <c r="C79" s="97" t="s">
        <v>150</v>
      </c>
      <c r="D79" s="97" t="s">
        <v>151</v>
      </c>
      <c r="E79" s="96"/>
      <c r="F79" s="99">
        <v>45592</v>
      </c>
      <c r="G79" s="99">
        <v>45596</v>
      </c>
      <c r="H79" s="102"/>
      <c r="I79" s="102">
        <v>0.79166666666666663</v>
      </c>
      <c r="J79" s="99"/>
      <c r="K79" s="99"/>
      <c r="L79" s="99"/>
      <c r="M79" s="99"/>
      <c r="N79" s="99"/>
      <c r="O79" s="96" t="s">
        <v>426</v>
      </c>
      <c r="P79" s="96"/>
      <c r="Q79" s="100">
        <v>100</v>
      </c>
      <c r="R79" s="300">
        <v>5</v>
      </c>
      <c r="S79" s="100"/>
      <c r="T79" s="100"/>
      <c r="U79" s="15"/>
      <c r="V79" s="15"/>
      <c r="W79" s="15"/>
      <c r="X79" s="96"/>
      <c r="Y79" s="69">
        <f ca="1">Table210[[#This Row],[End Date]]+2-TODAY()</f>
        <v>-179</v>
      </c>
      <c r="Z79" s="15">
        <f>IF(ISBLANK(Table210[[#This Row],[Roster Received By]]),1,0)</f>
        <v>1</v>
      </c>
      <c r="AA79" s="15">
        <f ca="1">IF(Table210[[#This Row],[Start Date]]&gt;TODAY(),1,)</f>
        <v>0</v>
      </c>
    </row>
    <row r="80" spans="1:27" s="103" customFormat="1" ht="14.25" customHeight="1" x14ac:dyDescent="0.25">
      <c r="A80" s="61"/>
      <c r="B80" s="96" t="s">
        <v>40</v>
      </c>
      <c r="C80" s="97" t="s">
        <v>150</v>
      </c>
      <c r="D80" s="97" t="s">
        <v>151</v>
      </c>
      <c r="E80" s="96"/>
      <c r="F80" s="99">
        <v>45614</v>
      </c>
      <c r="G80" s="99">
        <v>45618</v>
      </c>
      <c r="H80" s="102"/>
      <c r="I80" s="102">
        <v>0.54166666666666663</v>
      </c>
      <c r="J80" s="99"/>
      <c r="K80" s="99"/>
      <c r="L80" s="99"/>
      <c r="M80" s="99"/>
      <c r="N80" s="99"/>
      <c r="O80" s="96" t="s">
        <v>272</v>
      </c>
      <c r="P80" s="96"/>
      <c r="Q80" s="100">
        <v>100</v>
      </c>
      <c r="R80" s="300">
        <v>5</v>
      </c>
      <c r="S80" s="100"/>
      <c r="T80" s="100"/>
      <c r="U80" s="15"/>
      <c r="V80" s="15"/>
      <c r="W80" s="97"/>
      <c r="X80" s="96"/>
      <c r="Y80" s="69">
        <f ca="1">Table210[[#This Row],[End Date]]+2-TODAY()</f>
        <v>-157</v>
      </c>
      <c r="Z80" s="15">
        <f>IF(ISBLANK(Table210[[#This Row],[Roster Received By]]),1,0)</f>
        <v>1</v>
      </c>
      <c r="AA80" s="15">
        <f ca="1">IF(Table210[[#This Row],[Start Date]]&gt;TODAY(),1,)</f>
        <v>0</v>
      </c>
    </row>
    <row r="81" spans="1:27" s="103" customFormat="1" ht="14.25" customHeight="1" x14ac:dyDescent="0.25">
      <c r="A81" s="61"/>
      <c r="B81" s="96" t="s">
        <v>40</v>
      </c>
      <c r="C81" s="97" t="s">
        <v>150</v>
      </c>
      <c r="D81" s="97" t="s">
        <v>151</v>
      </c>
      <c r="E81" s="96"/>
      <c r="F81" s="99">
        <v>45635</v>
      </c>
      <c r="G81" s="99">
        <v>45639</v>
      </c>
      <c r="H81" s="105"/>
      <c r="I81" s="102">
        <v>0.54166666666666663</v>
      </c>
      <c r="J81" s="99"/>
      <c r="K81" s="99"/>
      <c r="L81" s="99"/>
      <c r="M81" s="99"/>
      <c r="N81" s="99"/>
      <c r="O81" s="96" t="s">
        <v>426</v>
      </c>
      <c r="P81" s="96"/>
      <c r="Q81" s="100">
        <v>100</v>
      </c>
      <c r="R81" s="300">
        <v>5</v>
      </c>
      <c r="S81" s="100"/>
      <c r="T81" s="100"/>
      <c r="U81" s="15"/>
      <c r="V81" s="15"/>
      <c r="W81" s="15"/>
      <c r="X81" s="96"/>
      <c r="Y81" s="69">
        <f ca="1">Table210[[#This Row],[End Date]]+2-TODAY()</f>
        <v>-136</v>
      </c>
      <c r="Z81" s="15">
        <f>IF(ISBLANK(Table210[[#This Row],[Roster Received By]]),1,0)</f>
        <v>1</v>
      </c>
      <c r="AA81" s="15">
        <f ca="1">IF(Table210[[#This Row],[Start Date]]&gt;TODAY(),1,)</f>
        <v>0</v>
      </c>
    </row>
    <row r="82" spans="1:27" s="103" customFormat="1" ht="14.25" customHeight="1" x14ac:dyDescent="0.25">
      <c r="A82" s="61"/>
      <c r="B82" s="96" t="s">
        <v>40</v>
      </c>
      <c r="C82" s="97" t="s">
        <v>150</v>
      </c>
      <c r="D82" s="97" t="s">
        <v>151</v>
      </c>
      <c r="E82" s="96"/>
      <c r="F82" s="99">
        <v>45662</v>
      </c>
      <c r="G82" s="99">
        <v>45666</v>
      </c>
      <c r="H82" s="105"/>
      <c r="I82" s="102">
        <v>0.79166666666666663</v>
      </c>
      <c r="J82" s="99"/>
      <c r="K82" s="99"/>
      <c r="L82" s="99"/>
      <c r="M82" s="99"/>
      <c r="N82" s="99"/>
      <c r="O82" s="96" t="s">
        <v>282</v>
      </c>
      <c r="P82" s="96"/>
      <c r="Q82" s="100">
        <v>100</v>
      </c>
      <c r="R82" s="300">
        <v>5</v>
      </c>
      <c r="S82" s="100"/>
      <c r="T82" s="100"/>
      <c r="U82" s="15"/>
      <c r="V82" s="15"/>
      <c r="W82" s="15"/>
      <c r="X82" s="96"/>
      <c r="Y82" s="69">
        <f ca="1">Table210[[#This Row],[End Date]]+2-TODAY()</f>
        <v>-109</v>
      </c>
      <c r="Z82" s="15">
        <f>IF(ISBLANK(Table210[[#This Row],[Roster Received By]]),1,0)</f>
        <v>1</v>
      </c>
      <c r="AA82" s="15">
        <f ca="1">IF(Table210[[#This Row],[Start Date]]&gt;TODAY(),1,)</f>
        <v>0</v>
      </c>
    </row>
    <row r="83" spans="1:27" s="103" customFormat="1" ht="14.25" customHeight="1" x14ac:dyDescent="0.25">
      <c r="A83" s="61"/>
      <c r="B83" s="96" t="s">
        <v>40</v>
      </c>
      <c r="C83" s="97" t="s">
        <v>150</v>
      </c>
      <c r="D83" s="97" t="s">
        <v>151</v>
      </c>
      <c r="E83" s="96"/>
      <c r="F83" s="99">
        <v>45684</v>
      </c>
      <c r="G83" s="99">
        <v>45688</v>
      </c>
      <c r="H83" s="105"/>
      <c r="I83" s="102">
        <v>0.33333333333333331</v>
      </c>
      <c r="J83" s="99"/>
      <c r="K83" s="99"/>
      <c r="L83" s="99"/>
      <c r="M83" s="99"/>
      <c r="N83" s="99"/>
      <c r="O83" s="96" t="s">
        <v>282</v>
      </c>
      <c r="P83" s="96"/>
      <c r="Q83" s="100">
        <v>100</v>
      </c>
      <c r="R83" s="300">
        <v>5</v>
      </c>
      <c r="S83" s="100"/>
      <c r="T83" s="100"/>
      <c r="U83" s="15"/>
      <c r="V83" s="15"/>
      <c r="W83" s="15"/>
      <c r="X83" s="96"/>
      <c r="Y83" s="69">
        <f ca="1">Table210[[#This Row],[End Date]]+2-TODAY()</f>
        <v>-87</v>
      </c>
      <c r="Z83" s="15">
        <f>IF(ISBLANK(Table210[[#This Row],[Roster Received By]]),1,0)</f>
        <v>1</v>
      </c>
      <c r="AA83" s="15">
        <f ca="1">IF(Table210[[#This Row],[Start Date]]&gt;TODAY(),1,)</f>
        <v>0</v>
      </c>
    </row>
    <row r="84" spans="1:27" s="103" customFormat="1" ht="14.25" customHeight="1" x14ac:dyDescent="0.25">
      <c r="A84" s="61"/>
      <c r="B84" s="96" t="s">
        <v>40</v>
      </c>
      <c r="C84" s="97" t="s">
        <v>150</v>
      </c>
      <c r="D84" s="97" t="s">
        <v>151</v>
      </c>
      <c r="E84" s="96"/>
      <c r="F84" s="99">
        <v>45698</v>
      </c>
      <c r="G84" s="99">
        <v>45702</v>
      </c>
      <c r="H84" s="105"/>
      <c r="I84" s="105">
        <v>0.54166666666666663</v>
      </c>
      <c r="J84" s="99"/>
      <c r="K84" s="99"/>
      <c r="L84" s="99"/>
      <c r="M84" s="99"/>
      <c r="N84" s="99"/>
      <c r="O84" s="96" t="s">
        <v>282</v>
      </c>
      <c r="P84" s="96"/>
      <c r="Q84" s="100">
        <v>100</v>
      </c>
      <c r="R84" s="300">
        <v>5</v>
      </c>
      <c r="S84" s="100"/>
      <c r="T84" s="100"/>
      <c r="U84" s="15"/>
      <c r="V84" s="15"/>
      <c r="W84" s="15"/>
      <c r="X84" s="96"/>
      <c r="Y84" s="69">
        <f ca="1">Table210[[#This Row],[End Date]]+2-TODAY()</f>
        <v>-73</v>
      </c>
      <c r="Z84" s="15">
        <f>IF(ISBLANK(Table210[[#This Row],[Roster Received By]]),1,0)</f>
        <v>1</v>
      </c>
      <c r="AA84" s="15">
        <f ca="1">IF(Table210[[#This Row],[Start Date]]&gt;TODAY(),1,)</f>
        <v>0</v>
      </c>
    </row>
    <row r="85" spans="1:27" s="103" customFormat="1" ht="14.25" customHeight="1" x14ac:dyDescent="0.25">
      <c r="A85" s="61"/>
      <c r="B85" s="96" t="s">
        <v>40</v>
      </c>
      <c r="C85" s="97" t="s">
        <v>150</v>
      </c>
      <c r="D85" s="97" t="s">
        <v>151</v>
      </c>
      <c r="E85" s="96"/>
      <c r="F85" s="99">
        <v>45719</v>
      </c>
      <c r="G85" s="99">
        <v>45723</v>
      </c>
      <c r="H85" s="102"/>
      <c r="I85" s="102">
        <v>0.54166666666666663</v>
      </c>
      <c r="J85" s="99"/>
      <c r="K85" s="99"/>
      <c r="L85" s="99"/>
      <c r="M85" s="99"/>
      <c r="N85" s="99"/>
      <c r="O85" s="96" t="s">
        <v>282</v>
      </c>
      <c r="P85" s="96"/>
      <c r="Q85" s="100">
        <v>100</v>
      </c>
      <c r="R85" s="300">
        <v>5</v>
      </c>
      <c r="S85" s="100"/>
      <c r="T85" s="100"/>
      <c r="U85" s="15"/>
      <c r="V85" s="15"/>
      <c r="W85" s="15"/>
      <c r="X85" s="96"/>
      <c r="Y85" s="69">
        <f ca="1">Table210[[#This Row],[End Date]]+2-TODAY()</f>
        <v>-52</v>
      </c>
      <c r="Z85" s="15">
        <f>IF(ISBLANK(Table210[[#This Row],[Roster Received By]]),1,0)</f>
        <v>1</v>
      </c>
      <c r="AA85" s="15">
        <f ca="1">IF(Table210[[#This Row],[Start Date]]&gt;TODAY(),1,)</f>
        <v>0</v>
      </c>
    </row>
    <row r="86" spans="1:27" s="103" customFormat="1" ht="14.25" customHeight="1" x14ac:dyDescent="0.25">
      <c r="A86" s="61"/>
      <c r="B86" s="96" t="s">
        <v>40</v>
      </c>
      <c r="C86" s="97" t="s">
        <v>150</v>
      </c>
      <c r="D86" s="97" t="s">
        <v>151</v>
      </c>
      <c r="E86" s="96"/>
      <c r="F86" s="99">
        <v>45733</v>
      </c>
      <c r="G86" s="99">
        <v>45737</v>
      </c>
      <c r="H86" s="102"/>
      <c r="I86" s="102">
        <v>0.54166666666666663</v>
      </c>
      <c r="J86" s="99"/>
      <c r="K86" s="99"/>
      <c r="L86" s="99"/>
      <c r="M86" s="99"/>
      <c r="N86" s="99"/>
      <c r="O86" s="96" t="s">
        <v>282</v>
      </c>
      <c r="P86" s="96"/>
      <c r="Q86" s="100">
        <v>100</v>
      </c>
      <c r="R86" s="300">
        <v>5</v>
      </c>
      <c r="S86" s="100"/>
      <c r="T86" s="100"/>
      <c r="U86" s="15"/>
      <c r="V86" s="15"/>
      <c r="W86" s="15"/>
      <c r="X86" s="96"/>
      <c r="Y86" s="69">
        <f ca="1">Table210[[#This Row],[End Date]]+2-TODAY()</f>
        <v>-38</v>
      </c>
      <c r="Z86" s="15">
        <f>IF(ISBLANK(Table210[[#This Row],[Roster Received By]]),1,0)</f>
        <v>1</v>
      </c>
      <c r="AA86" s="15">
        <f ca="1">IF(Table210[[#This Row],[Start Date]]&gt;TODAY(),1,)</f>
        <v>0</v>
      </c>
    </row>
    <row r="87" spans="1:27" s="103" customFormat="1" ht="14.25" customHeight="1" x14ac:dyDescent="0.25">
      <c r="A87" s="61"/>
      <c r="B87" s="96" t="s">
        <v>40</v>
      </c>
      <c r="C87" s="97" t="s">
        <v>150</v>
      </c>
      <c r="D87" s="97" t="s">
        <v>151</v>
      </c>
      <c r="E87" s="96"/>
      <c r="F87" s="99">
        <v>45754</v>
      </c>
      <c r="G87" s="99">
        <v>45758</v>
      </c>
      <c r="H87" s="102"/>
      <c r="I87" s="102">
        <v>0.33333333333333331</v>
      </c>
      <c r="J87" s="99"/>
      <c r="K87" s="99"/>
      <c r="L87" s="99"/>
      <c r="M87" s="99"/>
      <c r="N87" s="99"/>
      <c r="O87" s="96" t="s">
        <v>282</v>
      </c>
      <c r="P87" s="96"/>
      <c r="Q87" s="100">
        <v>100</v>
      </c>
      <c r="R87" s="300">
        <v>5</v>
      </c>
      <c r="S87" s="100"/>
      <c r="T87" s="100"/>
      <c r="U87" s="15"/>
      <c r="V87" s="15"/>
      <c r="W87" s="15"/>
      <c r="X87" s="96"/>
      <c r="Y87" s="69">
        <f ca="1">Table210[[#This Row],[End Date]]+2-TODAY()</f>
        <v>-17</v>
      </c>
      <c r="Z87" s="15">
        <f>IF(ISBLANK(Table210[[#This Row],[Roster Received By]]),1,0)</f>
        <v>1</v>
      </c>
      <c r="AA87" s="15">
        <f ca="1">IF(Table210[[#This Row],[Start Date]]&gt;TODAY(),1,)</f>
        <v>0</v>
      </c>
    </row>
    <row r="88" spans="1:27" s="103" customFormat="1" ht="14.25" customHeight="1" x14ac:dyDescent="0.25">
      <c r="A88" s="61"/>
      <c r="B88" s="96" t="s">
        <v>40</v>
      </c>
      <c r="C88" s="97" t="s">
        <v>150</v>
      </c>
      <c r="D88" s="97" t="s">
        <v>151</v>
      </c>
      <c r="E88" s="96"/>
      <c r="F88" s="99">
        <v>45782</v>
      </c>
      <c r="G88" s="99">
        <v>45786</v>
      </c>
      <c r="H88" s="102"/>
      <c r="I88" s="102">
        <v>0.54166666666666663</v>
      </c>
      <c r="J88" s="99"/>
      <c r="K88" s="99"/>
      <c r="L88" s="99"/>
      <c r="M88" s="99"/>
      <c r="N88" s="99"/>
      <c r="O88" s="96" t="s">
        <v>282</v>
      </c>
      <c r="P88" s="96"/>
      <c r="Q88" s="100">
        <v>100</v>
      </c>
      <c r="R88" s="300">
        <v>5</v>
      </c>
      <c r="S88" s="100"/>
      <c r="T88" s="100"/>
      <c r="U88" s="15"/>
      <c r="V88" s="15"/>
      <c r="W88" s="15"/>
      <c r="X88" s="96"/>
      <c r="Y88" s="69">
        <f ca="1">Table210[[#This Row],[End Date]]+2-TODAY()</f>
        <v>11</v>
      </c>
      <c r="Z88" s="15">
        <f>IF(ISBLANK(Table210[[#This Row],[Roster Received By]]),1,0)</f>
        <v>1</v>
      </c>
      <c r="AA88" s="15">
        <f ca="1">IF(Table210[[#This Row],[Start Date]]&gt;TODAY(),1,)</f>
        <v>1</v>
      </c>
    </row>
    <row r="89" spans="1:27" s="103" customFormat="1" ht="16.5" customHeight="1" x14ac:dyDescent="0.25">
      <c r="A89" s="61"/>
      <c r="B89" s="96" t="s">
        <v>40</v>
      </c>
      <c r="C89" s="97" t="s">
        <v>150</v>
      </c>
      <c r="D89" s="97" t="s">
        <v>151</v>
      </c>
      <c r="E89" s="96"/>
      <c r="F89" s="99">
        <v>45817</v>
      </c>
      <c r="G89" s="99">
        <v>45821</v>
      </c>
      <c r="H89" s="105"/>
      <c r="I89" s="105">
        <v>0.54166666666666663</v>
      </c>
      <c r="J89" s="99"/>
      <c r="K89" s="99"/>
      <c r="L89" s="99"/>
      <c r="M89" s="99"/>
      <c r="N89" s="99"/>
      <c r="O89" s="96" t="s">
        <v>282</v>
      </c>
      <c r="P89" s="96"/>
      <c r="Q89" s="100">
        <v>100</v>
      </c>
      <c r="R89" s="300">
        <v>5</v>
      </c>
      <c r="S89" s="100"/>
      <c r="T89" s="100"/>
      <c r="U89" s="15"/>
      <c r="V89" s="15"/>
      <c r="W89" s="15"/>
      <c r="X89" s="96"/>
      <c r="Y89" s="69">
        <f ca="1">Table210[[#This Row],[End Date]]+2-TODAY()</f>
        <v>46</v>
      </c>
      <c r="Z89" s="15">
        <f>IF(ISBLANK(Table210[[#This Row],[Roster Received By]]),1,0)</f>
        <v>1</v>
      </c>
      <c r="AA89" s="15">
        <f ca="1">IF(Table210[[#This Row],[Start Date]]&gt;TODAY(),1,)</f>
        <v>1</v>
      </c>
    </row>
    <row r="90" spans="1:27" s="103" customFormat="1" ht="16.5" customHeight="1" x14ac:dyDescent="0.25">
      <c r="A90" s="61"/>
      <c r="B90" s="96" t="s">
        <v>40</v>
      </c>
      <c r="C90" s="97" t="s">
        <v>150</v>
      </c>
      <c r="D90" s="97" t="s">
        <v>151</v>
      </c>
      <c r="E90" s="96"/>
      <c r="F90" s="99">
        <v>45851</v>
      </c>
      <c r="G90" s="99">
        <v>45855</v>
      </c>
      <c r="H90" s="105"/>
      <c r="I90" s="105">
        <v>0.79166666666666663</v>
      </c>
      <c r="J90" s="99"/>
      <c r="K90" s="99"/>
      <c r="L90" s="99"/>
      <c r="M90" s="99"/>
      <c r="N90" s="99"/>
      <c r="O90" s="96" t="s">
        <v>282</v>
      </c>
      <c r="P90" s="96"/>
      <c r="Q90" s="100">
        <v>100</v>
      </c>
      <c r="R90" s="300">
        <v>5</v>
      </c>
      <c r="S90" s="100"/>
      <c r="T90" s="100"/>
      <c r="U90" s="15"/>
      <c r="V90" s="15"/>
      <c r="W90" s="97"/>
      <c r="X90" s="96"/>
      <c r="Y90" s="69">
        <f ca="1">Table210[[#This Row],[End Date]]+2-TODAY()</f>
        <v>80</v>
      </c>
      <c r="Z90" s="15">
        <f>IF(ISBLANK(Table210[[#This Row],[Roster Received By]]),1,0)</f>
        <v>1</v>
      </c>
      <c r="AA90" s="15">
        <f ca="1">IF(Table210[[#This Row],[Start Date]]&gt;TODAY(),1,)</f>
        <v>1</v>
      </c>
    </row>
    <row r="91" spans="1:27" s="103" customFormat="1" ht="14.25" customHeight="1" x14ac:dyDescent="0.25">
      <c r="A91" s="61"/>
      <c r="B91" s="96" t="s">
        <v>40</v>
      </c>
      <c r="C91" s="97" t="s">
        <v>150</v>
      </c>
      <c r="D91" s="97" t="s">
        <v>151</v>
      </c>
      <c r="E91" s="96"/>
      <c r="F91" s="99">
        <v>45873</v>
      </c>
      <c r="G91" s="99">
        <v>45877</v>
      </c>
      <c r="H91" s="105"/>
      <c r="I91" s="105">
        <v>0.33333333333333331</v>
      </c>
      <c r="J91" s="99"/>
      <c r="K91" s="99"/>
      <c r="L91" s="99"/>
      <c r="M91" s="99"/>
      <c r="N91" s="99"/>
      <c r="O91" s="96" t="s">
        <v>282</v>
      </c>
      <c r="P91" s="96"/>
      <c r="Q91" s="100">
        <v>100</v>
      </c>
      <c r="R91" s="300">
        <v>5</v>
      </c>
      <c r="S91" s="100"/>
      <c r="T91" s="100"/>
      <c r="U91" s="15"/>
      <c r="V91" s="15"/>
      <c r="W91" s="97"/>
      <c r="X91" s="96"/>
      <c r="Y91" s="69">
        <f ca="1">Table210[[#This Row],[End Date]]+2-TODAY()</f>
        <v>102</v>
      </c>
      <c r="Z91" s="15">
        <f>IF(ISBLANK(Table210[[#This Row],[Roster Received By]]),1,0)</f>
        <v>1</v>
      </c>
      <c r="AA91" s="15">
        <f ca="1">IF(Table210[[#This Row],[Start Date]]&gt;TODAY(),1,)</f>
        <v>1</v>
      </c>
    </row>
    <row r="92" spans="1:27" s="103" customFormat="1" ht="14.25" customHeight="1" x14ac:dyDescent="0.25">
      <c r="A92" s="61"/>
      <c r="B92" s="96" t="s">
        <v>40</v>
      </c>
      <c r="C92" s="97" t="s">
        <v>150</v>
      </c>
      <c r="D92" s="97" t="s">
        <v>151</v>
      </c>
      <c r="E92" s="96"/>
      <c r="F92" s="99">
        <v>45887</v>
      </c>
      <c r="G92" s="99">
        <v>45891</v>
      </c>
      <c r="H92" s="102"/>
      <c r="I92" s="102">
        <v>0.54166666666666663</v>
      </c>
      <c r="J92" s="99"/>
      <c r="K92" s="99"/>
      <c r="L92" s="99"/>
      <c r="M92" s="99"/>
      <c r="N92" s="99"/>
      <c r="O92" s="96" t="s">
        <v>282</v>
      </c>
      <c r="P92" s="96"/>
      <c r="Q92" s="100">
        <v>100</v>
      </c>
      <c r="R92" s="300">
        <v>5</v>
      </c>
      <c r="S92" s="100"/>
      <c r="T92" s="100"/>
      <c r="U92" s="15"/>
      <c r="V92" s="15"/>
      <c r="W92" s="15"/>
      <c r="X92" s="96"/>
      <c r="Y92" s="69">
        <f ca="1">Table210[[#This Row],[End Date]]+2-TODAY()</f>
        <v>116</v>
      </c>
      <c r="Z92" s="15">
        <f>IF(ISBLANK(Table210[[#This Row],[Roster Received By]]),1,0)</f>
        <v>1</v>
      </c>
      <c r="AA92" s="15">
        <f ca="1">IF(Table210[[#This Row],[Start Date]]&gt;TODAY(),1,)</f>
        <v>1</v>
      </c>
    </row>
    <row r="93" spans="1:27" s="103" customFormat="1" ht="14.25" customHeight="1" x14ac:dyDescent="0.25">
      <c r="A93" s="61"/>
      <c r="B93" s="96" t="s">
        <v>40</v>
      </c>
      <c r="C93" s="97" t="s">
        <v>150</v>
      </c>
      <c r="D93" s="97" t="s">
        <v>151</v>
      </c>
      <c r="E93" s="64"/>
      <c r="F93" s="99">
        <v>45915</v>
      </c>
      <c r="G93" s="99">
        <v>45919</v>
      </c>
      <c r="H93" s="102"/>
      <c r="I93" s="102">
        <v>0.54166666666666663</v>
      </c>
      <c r="J93" s="99"/>
      <c r="K93" s="99"/>
      <c r="L93" s="99"/>
      <c r="M93" s="99"/>
      <c r="N93" s="99"/>
      <c r="O93" s="96" t="s">
        <v>282</v>
      </c>
      <c r="P93" s="96"/>
      <c r="Q93" s="15">
        <v>100</v>
      </c>
      <c r="R93" s="211">
        <v>5</v>
      </c>
      <c r="S93" s="15"/>
      <c r="T93" s="100"/>
      <c r="U93" s="15"/>
      <c r="V93" s="15"/>
      <c r="W93" s="15"/>
      <c r="X93" s="96"/>
      <c r="Y93" s="69">
        <f ca="1">Table210[[#This Row],[End Date]]+2-TODAY()</f>
        <v>144</v>
      </c>
      <c r="Z93" s="15">
        <f>IF(ISBLANK(Table210[[#This Row],[Roster Received By]]),1,0)</f>
        <v>1</v>
      </c>
      <c r="AA93" s="15">
        <f ca="1">IF(Table210[[#This Row],[Start Date]]&gt;TODAY(),1,)</f>
        <v>1</v>
      </c>
    </row>
    <row r="94" spans="1:27" s="103" customFormat="1" ht="14.25" customHeight="1" x14ac:dyDescent="0.25">
      <c r="A94" s="61"/>
      <c r="B94" s="96" t="s">
        <v>54</v>
      </c>
      <c r="C94" s="97" t="s">
        <v>152</v>
      </c>
      <c r="D94" s="97" t="s">
        <v>153</v>
      </c>
      <c r="E94" s="96"/>
      <c r="F94" s="99">
        <v>45614</v>
      </c>
      <c r="G94" s="99">
        <v>45618</v>
      </c>
      <c r="H94" s="102"/>
      <c r="I94" s="102">
        <v>0.54166666666666663</v>
      </c>
      <c r="J94" s="99"/>
      <c r="K94" s="99"/>
      <c r="L94" s="99"/>
      <c r="M94" s="99"/>
      <c r="N94" s="99"/>
      <c r="O94" s="96" t="s">
        <v>448</v>
      </c>
      <c r="P94" s="96"/>
      <c r="Q94" s="100">
        <v>25</v>
      </c>
      <c r="R94" s="300">
        <v>2</v>
      </c>
      <c r="S94" s="100"/>
      <c r="T94" s="100"/>
      <c r="U94" s="15"/>
      <c r="V94" s="15"/>
      <c r="W94" s="97"/>
      <c r="X94" s="96"/>
      <c r="Y94" s="69">
        <f ca="1">Table210[[#This Row],[End Date]]+2-TODAY()</f>
        <v>-157</v>
      </c>
      <c r="Z94" s="15">
        <f>IF(ISBLANK(Table210[[#This Row],[Roster Received By]]),1,0)</f>
        <v>1</v>
      </c>
      <c r="AA94" s="15">
        <f ca="1">IF(Table210[[#This Row],[Start Date]]&gt;TODAY(),1,)</f>
        <v>0</v>
      </c>
    </row>
    <row r="95" spans="1:27" s="136" customFormat="1" ht="14.25" customHeight="1" x14ac:dyDescent="0.25">
      <c r="A95" s="61"/>
      <c r="B95" s="96" t="s">
        <v>54</v>
      </c>
      <c r="C95" s="97" t="s">
        <v>152</v>
      </c>
      <c r="D95" s="97" t="s">
        <v>153</v>
      </c>
      <c r="E95" s="96"/>
      <c r="F95" s="99">
        <v>45691</v>
      </c>
      <c r="G95" s="99">
        <v>45695</v>
      </c>
      <c r="H95" s="105"/>
      <c r="I95" s="105">
        <v>0.54166666666666663</v>
      </c>
      <c r="J95" s="99"/>
      <c r="K95" s="99"/>
      <c r="L95" s="99"/>
      <c r="M95" s="99"/>
      <c r="N95" s="99"/>
      <c r="O95" s="96" t="s">
        <v>448</v>
      </c>
      <c r="P95" s="96"/>
      <c r="Q95" s="100">
        <v>25</v>
      </c>
      <c r="R95" s="300">
        <v>2</v>
      </c>
      <c r="S95" s="100"/>
      <c r="T95" s="100"/>
      <c r="U95" s="15"/>
      <c r="V95" s="15"/>
      <c r="W95" s="15"/>
      <c r="X95" s="96"/>
      <c r="Y95" s="69">
        <f ca="1">Table210[[#This Row],[End Date]]+2-TODAY()</f>
        <v>-80</v>
      </c>
      <c r="Z95" s="15">
        <f>IF(ISBLANK(Table210[[#This Row],[Roster Received By]]),1,0)</f>
        <v>1</v>
      </c>
      <c r="AA95" s="15">
        <f ca="1">IF(Table210[[#This Row],[Start Date]]&gt;TODAY(),1,)</f>
        <v>0</v>
      </c>
    </row>
    <row r="96" spans="1:27" s="103" customFormat="1" ht="14.25" customHeight="1" x14ac:dyDescent="0.25">
      <c r="A96" s="61"/>
      <c r="B96" s="96" t="s">
        <v>54</v>
      </c>
      <c r="C96" s="97" t="s">
        <v>152</v>
      </c>
      <c r="D96" s="97" t="s">
        <v>153</v>
      </c>
      <c r="E96" s="96"/>
      <c r="F96" s="99">
        <v>45789</v>
      </c>
      <c r="G96" s="99">
        <v>45793</v>
      </c>
      <c r="H96" s="102"/>
      <c r="I96" s="102">
        <v>0.54166666666666663</v>
      </c>
      <c r="J96" s="99"/>
      <c r="K96" s="99"/>
      <c r="L96" s="99"/>
      <c r="M96" s="99"/>
      <c r="N96" s="99"/>
      <c r="O96" s="96" t="s">
        <v>448</v>
      </c>
      <c r="P96" s="96"/>
      <c r="Q96" s="100">
        <v>25</v>
      </c>
      <c r="R96" s="300">
        <v>2</v>
      </c>
      <c r="S96" s="100"/>
      <c r="T96" s="100"/>
      <c r="U96" s="15"/>
      <c r="V96" s="15"/>
      <c r="W96" s="15"/>
      <c r="X96" s="96"/>
      <c r="Y96" s="69">
        <f ca="1">Table210[[#This Row],[End Date]]+2-TODAY()</f>
        <v>18</v>
      </c>
      <c r="Z96" s="15">
        <f>IF(ISBLANK(Table210[[#This Row],[Roster Received By]]),1,0)</f>
        <v>1</v>
      </c>
      <c r="AA96" s="15">
        <f ca="1">IF(Table210[[#This Row],[Start Date]]&gt;TODAY(),1,)</f>
        <v>1</v>
      </c>
    </row>
    <row r="97" spans="1:27" s="103" customFormat="1" ht="14.25" customHeight="1" x14ac:dyDescent="0.25">
      <c r="A97" s="61"/>
      <c r="B97" s="96" t="s">
        <v>54</v>
      </c>
      <c r="C97" s="97" t="s">
        <v>152</v>
      </c>
      <c r="D97" s="97" t="s">
        <v>153</v>
      </c>
      <c r="E97" s="96"/>
      <c r="F97" s="99">
        <v>45880</v>
      </c>
      <c r="G97" s="99">
        <v>45884</v>
      </c>
      <c r="H97" s="105"/>
      <c r="I97" s="105">
        <v>0.54166666666666663</v>
      </c>
      <c r="J97" s="99"/>
      <c r="K97" s="99"/>
      <c r="L97" s="99"/>
      <c r="M97" s="99"/>
      <c r="N97" s="99"/>
      <c r="O97" s="96" t="s">
        <v>448</v>
      </c>
      <c r="P97" s="96"/>
      <c r="Q97" s="100">
        <v>25</v>
      </c>
      <c r="R97" s="300">
        <v>2</v>
      </c>
      <c r="S97" s="100"/>
      <c r="T97" s="100"/>
      <c r="U97" s="15"/>
      <c r="V97" s="15"/>
      <c r="W97" s="97"/>
      <c r="X97" s="96"/>
      <c r="Y97" s="69">
        <f ca="1">Table210[[#This Row],[End Date]]+2-TODAY()</f>
        <v>109</v>
      </c>
      <c r="Z97" s="15">
        <f>IF(ISBLANK(Table210[[#This Row],[Roster Received By]]),1,0)</f>
        <v>1</v>
      </c>
      <c r="AA97" s="15">
        <f ca="1">IF(Table210[[#This Row],[Start Date]]&gt;TODAY(),1,)</f>
        <v>1</v>
      </c>
    </row>
    <row r="98" spans="1:27" s="103" customFormat="1" ht="14.25" customHeight="1" x14ac:dyDescent="0.25">
      <c r="A98" s="165" t="s">
        <v>62</v>
      </c>
      <c r="B98" s="165">
        <f>SUBTOTAL(103,Table210[Course Title])</f>
        <v>94</v>
      </c>
      <c r="C98" s="165"/>
      <c r="D98" s="165"/>
      <c r="E98" s="165"/>
      <c r="F98" s="166"/>
      <c r="G98" s="166"/>
      <c r="H98" s="165"/>
      <c r="I98" s="165"/>
      <c r="J98" s="165"/>
      <c r="K98" s="165"/>
      <c r="L98" s="165"/>
      <c r="M98" s="165"/>
      <c r="N98" s="165"/>
      <c r="O98" s="165"/>
      <c r="P98" s="165"/>
      <c r="Q98" s="167">
        <f>SUBTOTAL(109,Q4:Q97)</f>
        <v>4130</v>
      </c>
      <c r="R98" s="167">
        <f>SUBTOTAL(109,Table210[Course Length (Days)])</f>
        <v>340</v>
      </c>
      <c r="S98" s="167">
        <f>SUBTOTAL(109,S4:S97)</f>
        <v>0</v>
      </c>
      <c r="T98" s="167">
        <f>SUBTOTAL(109,T4:T97)</f>
        <v>0</v>
      </c>
      <c r="U98" s="167">
        <f>SUBTOTAL(109,U4:U97)</f>
        <v>0</v>
      </c>
      <c r="V98" s="167">
        <f>SUBTOTAL(109,V4:V97)</f>
        <v>0</v>
      </c>
      <c r="W98" s="167">
        <f>SUBTOTAL(109,W4:W97)</f>
        <v>0</v>
      </c>
      <c r="X98" s="165">
        <f>SUBTOTAL(103,Table210[Roster Received By])</f>
        <v>0</v>
      </c>
      <c r="Y98" s="168"/>
      <c r="Z98" s="165"/>
      <c r="AA98" s="165"/>
    </row>
    <row r="99" spans="1:27" s="103" customFormat="1" ht="14.25" customHeight="1" x14ac:dyDescent="0.25">
      <c r="A99" s="9"/>
      <c r="B99" s="10"/>
      <c r="C99" s="2"/>
      <c r="D99" s="12"/>
      <c r="E99" s="10"/>
      <c r="F99" s="11"/>
      <c r="G99" s="11"/>
      <c r="H99" s="36"/>
      <c r="I99" s="36"/>
      <c r="J99" s="36"/>
      <c r="K99" s="36"/>
      <c r="L99" s="36"/>
      <c r="M99" s="36"/>
      <c r="N99" s="36"/>
      <c r="O99" s="10"/>
      <c r="P99" s="10"/>
      <c r="Q99" s="9"/>
      <c r="R99" s="9"/>
      <c r="S99" s="13"/>
      <c r="T99" s="35"/>
      <c r="U99" s="35"/>
      <c r="V99" s="35"/>
      <c r="W99" s="35"/>
      <c r="X99" s="9"/>
      <c r="Y99" s="35"/>
      <c r="Z99" s="9"/>
      <c r="AA99" s="9"/>
    </row>
    <row r="100" spans="1:27" s="132" customFormat="1" ht="14.25" customHeight="1" x14ac:dyDescent="0.25">
      <c r="A100" s="9"/>
      <c r="B100" s="10"/>
      <c r="C100" s="2"/>
      <c r="D100" s="12"/>
      <c r="E100" s="10"/>
      <c r="F100" s="11"/>
      <c r="G100" s="11"/>
      <c r="H100" s="36"/>
      <c r="I100" s="36"/>
      <c r="J100" s="36"/>
      <c r="K100" s="36"/>
      <c r="L100" s="36"/>
      <c r="M100" s="36"/>
      <c r="N100" s="36"/>
      <c r="O100" s="10"/>
      <c r="P100" s="10"/>
      <c r="Q100" s="9"/>
      <c r="R100" s="9"/>
      <c r="S100" s="13"/>
      <c r="T100" s="35"/>
      <c r="U100" s="35"/>
      <c r="V100" s="35"/>
      <c r="W100" s="35"/>
      <c r="X100" s="9"/>
      <c r="Y100" s="35"/>
      <c r="Z100" s="9"/>
      <c r="AA100" s="9"/>
    </row>
    <row r="101" spans="1:27" s="103" customFormat="1" ht="14.25" customHeight="1" x14ac:dyDescent="0.25">
      <c r="A101" s="9"/>
      <c r="B101" s="10"/>
      <c r="C101" s="2"/>
      <c r="D101" s="12"/>
      <c r="E101" s="10"/>
      <c r="F101" s="11"/>
      <c r="G101" s="11"/>
      <c r="H101" s="36"/>
      <c r="I101" s="36"/>
      <c r="J101" s="36"/>
      <c r="K101" s="36"/>
      <c r="L101" s="36"/>
      <c r="M101" s="36"/>
      <c r="N101" s="36"/>
      <c r="O101" s="10"/>
      <c r="P101" s="10"/>
      <c r="Q101" s="9"/>
      <c r="R101" s="9"/>
      <c r="S101" s="13"/>
      <c r="T101" s="35"/>
      <c r="U101" s="35"/>
      <c r="V101" s="35"/>
      <c r="W101" s="35"/>
      <c r="X101" s="9"/>
      <c r="Y101" s="35"/>
      <c r="Z101" s="9"/>
      <c r="AA101" s="9"/>
    </row>
    <row r="102" spans="1:27" s="103" customFormat="1" ht="14.25" customHeight="1" x14ac:dyDescent="0.25">
      <c r="A102" s="9"/>
      <c r="B102" s="10"/>
      <c r="C102" s="2"/>
      <c r="D102" s="12"/>
      <c r="E102" s="10"/>
      <c r="F102" s="11"/>
      <c r="G102" s="11"/>
      <c r="H102" s="36"/>
      <c r="I102" s="36"/>
      <c r="J102" s="36"/>
      <c r="K102" s="36"/>
      <c r="L102" s="36"/>
      <c r="M102" s="36"/>
      <c r="N102" s="36"/>
      <c r="O102" s="10"/>
      <c r="P102" s="10"/>
      <c r="Q102" s="9"/>
      <c r="R102" s="9"/>
      <c r="S102" s="13"/>
      <c r="T102" s="35"/>
      <c r="U102" s="35"/>
      <c r="V102" s="35"/>
      <c r="W102" s="35"/>
      <c r="X102" s="9"/>
      <c r="Y102" s="35"/>
      <c r="Z102" s="9"/>
      <c r="AA102" s="9"/>
    </row>
    <row r="103" spans="1:27" s="103" customFormat="1" ht="14.25" customHeight="1" x14ac:dyDescent="0.25">
      <c r="A103" s="9"/>
      <c r="B103" s="10"/>
      <c r="C103" s="2"/>
      <c r="D103" s="12"/>
      <c r="E103" s="10"/>
      <c r="F103" s="11"/>
      <c r="G103" s="11"/>
      <c r="H103" s="36"/>
      <c r="I103" s="36"/>
      <c r="J103" s="36"/>
      <c r="K103" s="36"/>
      <c r="L103" s="36"/>
      <c r="M103" s="36"/>
      <c r="N103" s="36"/>
      <c r="O103" s="10"/>
      <c r="P103" s="10"/>
      <c r="Q103" s="9"/>
      <c r="R103" s="9"/>
      <c r="S103" s="13"/>
      <c r="T103" s="35"/>
      <c r="U103" s="35"/>
      <c r="V103" s="35"/>
      <c r="W103" s="35"/>
      <c r="X103" s="9"/>
      <c r="Y103" s="35"/>
      <c r="Z103" s="9"/>
      <c r="AA103" s="9"/>
    </row>
    <row r="104" spans="1:27" s="103" customFormat="1" ht="14.25" customHeight="1" x14ac:dyDescent="0.25">
      <c r="A104" s="9"/>
      <c r="B104" s="10"/>
      <c r="C104" s="2"/>
      <c r="D104" s="12"/>
      <c r="E104" s="10"/>
      <c r="F104" s="11"/>
      <c r="G104" s="11"/>
      <c r="H104" s="36"/>
      <c r="I104" s="36"/>
      <c r="J104" s="36"/>
      <c r="K104" s="36"/>
      <c r="L104" s="36"/>
      <c r="M104" s="36"/>
      <c r="N104" s="36"/>
      <c r="O104" s="10"/>
      <c r="P104" s="10"/>
      <c r="Q104" s="9"/>
      <c r="R104" s="9"/>
      <c r="S104" s="13"/>
      <c r="T104" s="35"/>
      <c r="U104" s="35"/>
      <c r="V104" s="35"/>
      <c r="W104" s="35"/>
      <c r="X104" s="9"/>
      <c r="Y104" s="35"/>
      <c r="Z104" s="9"/>
      <c r="AA104" s="9"/>
    </row>
    <row r="105" spans="1:27" s="132" customFormat="1" x14ac:dyDescent="0.25">
      <c r="A105" s="9"/>
      <c r="B105" s="10"/>
      <c r="C105" s="2"/>
      <c r="D105" s="12"/>
      <c r="E105" s="10"/>
      <c r="F105" s="11"/>
      <c r="G105" s="11"/>
      <c r="H105" s="36"/>
      <c r="I105" s="36"/>
      <c r="J105" s="36"/>
      <c r="K105" s="36"/>
      <c r="L105" s="36"/>
      <c r="M105" s="36"/>
      <c r="N105" s="36"/>
      <c r="O105" s="10"/>
      <c r="P105" s="10"/>
      <c r="Q105" s="9"/>
      <c r="R105" s="9"/>
      <c r="S105" s="13"/>
      <c r="T105" s="35"/>
      <c r="U105" s="35"/>
      <c r="V105" s="35"/>
      <c r="W105" s="35"/>
      <c r="X105" s="9"/>
      <c r="Y105" s="35"/>
      <c r="Z105" s="9"/>
      <c r="AA105" s="9"/>
    </row>
    <row r="106" spans="1:27" s="103" customFormat="1" ht="14.25" customHeight="1" x14ac:dyDescent="0.25">
      <c r="A106" s="9"/>
      <c r="B106" s="10"/>
      <c r="C106" s="2"/>
      <c r="D106" s="12"/>
      <c r="E106" s="10"/>
      <c r="F106" s="11"/>
      <c r="G106" s="11"/>
      <c r="H106" s="36"/>
      <c r="I106" s="36"/>
      <c r="J106" s="36"/>
      <c r="K106" s="36"/>
      <c r="L106" s="36"/>
      <c r="M106" s="36"/>
      <c r="N106" s="36"/>
      <c r="O106" s="10"/>
      <c r="P106" s="10"/>
      <c r="Q106" s="9"/>
      <c r="R106" s="9"/>
      <c r="S106" s="13"/>
      <c r="T106" s="35"/>
      <c r="U106" s="35"/>
      <c r="V106" s="35"/>
      <c r="W106" s="35"/>
      <c r="X106" s="9"/>
      <c r="Y106" s="35"/>
      <c r="Z106" s="9"/>
      <c r="AA106" s="9"/>
    </row>
    <row r="107" spans="1:27" s="132" customFormat="1" ht="14.25" customHeight="1" x14ac:dyDescent="0.25">
      <c r="A107" s="9"/>
      <c r="B107" s="10"/>
      <c r="C107" s="2"/>
      <c r="D107" s="12"/>
      <c r="E107" s="10"/>
      <c r="F107" s="11"/>
      <c r="G107" s="11"/>
      <c r="H107" s="36"/>
      <c r="I107" s="36"/>
      <c r="J107" s="36"/>
      <c r="K107" s="36"/>
      <c r="L107" s="36"/>
      <c r="M107" s="36"/>
      <c r="N107" s="36"/>
      <c r="O107" s="10"/>
      <c r="P107" s="10"/>
      <c r="Q107" s="9"/>
      <c r="R107" s="9"/>
      <c r="S107" s="13"/>
      <c r="T107" s="35"/>
      <c r="U107" s="35"/>
      <c r="V107" s="35"/>
      <c r="W107" s="35"/>
      <c r="X107" s="9"/>
      <c r="Y107" s="35"/>
      <c r="Z107" s="9"/>
      <c r="AA107" s="9"/>
    </row>
    <row r="108" spans="1:27" s="103" customFormat="1" ht="16.5" customHeight="1" x14ac:dyDescent="0.25">
      <c r="A108" s="9"/>
      <c r="B108" s="10"/>
      <c r="C108" s="2"/>
      <c r="D108" s="12"/>
      <c r="E108" s="10"/>
      <c r="F108" s="11"/>
      <c r="G108" s="11"/>
      <c r="H108" s="36"/>
      <c r="I108" s="36"/>
      <c r="J108" s="36"/>
      <c r="K108" s="36"/>
      <c r="L108" s="36"/>
      <c r="M108" s="36"/>
      <c r="N108" s="36"/>
      <c r="O108" s="10"/>
      <c r="P108" s="10"/>
      <c r="Q108" s="9"/>
      <c r="R108" s="9"/>
      <c r="S108" s="13"/>
      <c r="T108" s="35"/>
      <c r="U108" s="35"/>
      <c r="V108" s="35"/>
      <c r="W108" s="35"/>
      <c r="X108" s="9"/>
      <c r="Y108" s="35"/>
      <c r="Z108" s="9"/>
      <c r="AA108" s="9"/>
    </row>
    <row r="109" spans="1:27" s="103" customFormat="1" ht="14.25" customHeight="1" x14ac:dyDescent="0.25">
      <c r="A109" s="9"/>
      <c r="B109" s="10"/>
      <c r="C109" s="2"/>
      <c r="D109" s="12"/>
      <c r="E109" s="10"/>
      <c r="F109" s="11"/>
      <c r="G109" s="11"/>
      <c r="H109" s="36"/>
      <c r="I109" s="36"/>
      <c r="J109" s="36"/>
      <c r="K109" s="36"/>
      <c r="L109" s="36"/>
      <c r="M109" s="36"/>
      <c r="N109" s="36"/>
      <c r="O109" s="10"/>
      <c r="P109" s="10"/>
      <c r="Q109" s="9"/>
      <c r="R109" s="9"/>
      <c r="S109" s="13"/>
      <c r="T109" s="35"/>
      <c r="U109" s="35"/>
      <c r="V109" s="35"/>
      <c r="W109" s="35"/>
      <c r="X109" s="9"/>
      <c r="Y109" s="35"/>
      <c r="Z109" s="9"/>
      <c r="AA109" s="9"/>
    </row>
    <row r="110" spans="1:27" s="103" customFormat="1" ht="14.25" customHeight="1" x14ac:dyDescent="0.25">
      <c r="A110" s="9"/>
      <c r="B110" s="10"/>
      <c r="C110" s="2"/>
      <c r="D110" s="12"/>
      <c r="E110" s="10"/>
      <c r="F110" s="11"/>
      <c r="G110" s="11"/>
      <c r="H110" s="36"/>
      <c r="I110" s="36"/>
      <c r="J110" s="36"/>
      <c r="K110" s="36"/>
      <c r="L110" s="36"/>
      <c r="M110" s="36"/>
      <c r="N110" s="36"/>
      <c r="O110" s="10"/>
      <c r="P110" s="10"/>
      <c r="Q110" s="9"/>
      <c r="R110" s="9"/>
      <c r="S110" s="13"/>
      <c r="T110" s="35"/>
      <c r="U110" s="35"/>
      <c r="V110" s="35"/>
      <c r="W110" s="35"/>
      <c r="X110" s="9"/>
      <c r="Y110" s="35"/>
      <c r="Z110" s="9"/>
      <c r="AA110" s="9"/>
    </row>
    <row r="111" spans="1:27" s="103" customFormat="1" ht="14.25" customHeight="1" x14ac:dyDescent="0.25">
      <c r="A111" s="9"/>
      <c r="B111" s="10"/>
      <c r="C111" s="2"/>
      <c r="D111" s="12"/>
      <c r="E111" s="10"/>
      <c r="F111" s="11"/>
      <c r="G111" s="11"/>
      <c r="H111" s="36"/>
      <c r="I111" s="36"/>
      <c r="J111" s="36"/>
      <c r="K111" s="36"/>
      <c r="L111" s="36"/>
      <c r="M111" s="36"/>
      <c r="N111" s="36"/>
      <c r="O111" s="10"/>
      <c r="P111" s="10"/>
      <c r="Q111" s="9"/>
      <c r="R111" s="9"/>
      <c r="S111" s="13"/>
      <c r="T111" s="35"/>
      <c r="U111" s="35"/>
      <c r="V111" s="35"/>
      <c r="W111" s="35"/>
      <c r="X111" s="9"/>
      <c r="Y111" s="35"/>
      <c r="Z111" s="9"/>
      <c r="AA111" s="9"/>
    </row>
    <row r="112" spans="1:27" s="103" customFormat="1" ht="14.25" customHeight="1" x14ac:dyDescent="0.25">
      <c r="A112" s="9"/>
      <c r="B112" s="10"/>
      <c r="C112" s="2"/>
      <c r="D112" s="12"/>
      <c r="E112" s="10"/>
      <c r="F112" s="11"/>
      <c r="G112" s="11"/>
      <c r="H112" s="36"/>
      <c r="I112" s="36"/>
      <c r="J112" s="36"/>
      <c r="K112" s="36"/>
      <c r="L112" s="36"/>
      <c r="M112" s="36"/>
      <c r="N112" s="36"/>
      <c r="O112" s="10"/>
      <c r="P112" s="10"/>
      <c r="Q112" s="9"/>
      <c r="R112" s="9"/>
      <c r="S112" s="13"/>
      <c r="T112" s="35"/>
      <c r="U112" s="35"/>
      <c r="V112" s="35"/>
      <c r="W112" s="35"/>
      <c r="X112" s="9"/>
      <c r="Y112" s="35"/>
      <c r="Z112" s="9"/>
      <c r="AA112" s="9"/>
    </row>
    <row r="113" spans="1:27" s="103" customFormat="1" ht="14.25" customHeight="1" x14ac:dyDescent="0.25">
      <c r="A113" s="9"/>
      <c r="B113" s="10"/>
      <c r="C113" s="2"/>
      <c r="D113" s="12"/>
      <c r="E113" s="10"/>
      <c r="F113" s="11"/>
      <c r="G113" s="11"/>
      <c r="H113" s="36"/>
      <c r="I113" s="36"/>
      <c r="J113" s="36"/>
      <c r="K113" s="36"/>
      <c r="L113" s="36"/>
      <c r="M113" s="36"/>
      <c r="N113" s="36"/>
      <c r="O113" s="10"/>
      <c r="P113" s="10"/>
      <c r="Q113" s="9"/>
      <c r="R113" s="9"/>
      <c r="S113" s="13"/>
      <c r="T113" s="35"/>
      <c r="U113" s="35"/>
      <c r="V113" s="35"/>
      <c r="W113" s="35"/>
      <c r="X113" s="9"/>
      <c r="Y113" s="35"/>
      <c r="Z113" s="9"/>
      <c r="AA113" s="9"/>
    </row>
    <row r="114" spans="1:27" s="103" customFormat="1" ht="14.25" customHeight="1" x14ac:dyDescent="0.25">
      <c r="A114" s="9"/>
      <c r="B114" s="10"/>
      <c r="C114" s="2"/>
      <c r="D114" s="12"/>
      <c r="E114" s="10"/>
      <c r="F114" s="11"/>
      <c r="G114" s="11"/>
      <c r="H114" s="36"/>
      <c r="I114" s="36"/>
      <c r="J114" s="36"/>
      <c r="K114" s="36"/>
      <c r="L114" s="36"/>
      <c r="M114" s="36"/>
      <c r="N114" s="36"/>
      <c r="O114" s="10"/>
      <c r="P114" s="10"/>
      <c r="Q114" s="9"/>
      <c r="R114" s="9"/>
      <c r="S114" s="13"/>
      <c r="T114" s="35"/>
      <c r="U114" s="35"/>
      <c r="V114" s="35"/>
      <c r="W114" s="35"/>
      <c r="X114" s="9"/>
      <c r="Y114" s="35"/>
      <c r="Z114" s="9"/>
      <c r="AA114" s="9"/>
    </row>
    <row r="115" spans="1:27" s="132" customFormat="1" x14ac:dyDescent="0.25">
      <c r="A115" s="9"/>
      <c r="B115" s="10"/>
      <c r="C115" s="2"/>
      <c r="D115" s="12"/>
      <c r="E115" s="10"/>
      <c r="F115" s="11"/>
      <c r="G115" s="11"/>
      <c r="H115" s="36"/>
      <c r="I115" s="36"/>
      <c r="J115" s="36"/>
      <c r="K115" s="36"/>
      <c r="L115" s="36"/>
      <c r="M115" s="36"/>
      <c r="N115" s="36"/>
      <c r="O115" s="10"/>
      <c r="P115" s="10"/>
      <c r="Q115" s="9"/>
      <c r="R115" s="9"/>
      <c r="S115" s="13"/>
      <c r="T115" s="35"/>
      <c r="U115" s="35"/>
      <c r="V115" s="35"/>
      <c r="W115" s="35"/>
      <c r="X115" s="9"/>
      <c r="Y115" s="35"/>
      <c r="Z115" s="9"/>
      <c r="AA115" s="9"/>
    </row>
    <row r="116" spans="1:27" s="132" customFormat="1" x14ac:dyDescent="0.25">
      <c r="A116" s="9"/>
      <c r="B116" s="10"/>
      <c r="C116" s="2"/>
      <c r="D116" s="12"/>
      <c r="E116" s="10"/>
      <c r="F116" s="11"/>
      <c r="G116" s="11"/>
      <c r="H116" s="36"/>
      <c r="I116" s="36"/>
      <c r="J116" s="36"/>
      <c r="K116" s="36"/>
      <c r="L116" s="36"/>
      <c r="M116" s="36"/>
      <c r="N116" s="36"/>
      <c r="O116" s="10"/>
      <c r="P116" s="10"/>
      <c r="Q116" s="9"/>
      <c r="R116" s="9"/>
      <c r="S116" s="13"/>
      <c r="T116" s="35"/>
      <c r="U116" s="35"/>
      <c r="V116" s="35"/>
      <c r="W116" s="35"/>
      <c r="X116" s="9"/>
      <c r="Y116" s="35"/>
      <c r="Z116" s="9"/>
      <c r="AA116" s="9"/>
    </row>
    <row r="117" spans="1:27" s="132" customFormat="1" x14ac:dyDescent="0.25">
      <c r="A117" s="9"/>
      <c r="B117" s="10"/>
      <c r="C117" s="2"/>
      <c r="D117" s="12"/>
      <c r="E117" s="10"/>
      <c r="F117" s="11"/>
      <c r="G117" s="11"/>
      <c r="H117" s="36"/>
      <c r="I117" s="36"/>
      <c r="J117" s="36"/>
      <c r="K117" s="36"/>
      <c r="L117" s="36"/>
      <c r="M117" s="36"/>
      <c r="N117" s="36"/>
      <c r="O117" s="10"/>
      <c r="P117" s="10"/>
      <c r="Q117" s="9"/>
      <c r="R117" s="9"/>
      <c r="S117" s="13"/>
      <c r="T117" s="35"/>
      <c r="U117" s="35"/>
      <c r="V117" s="35"/>
      <c r="W117" s="35"/>
      <c r="X117" s="9"/>
      <c r="Y117" s="35"/>
      <c r="Z117" s="9"/>
      <c r="AA117" s="9"/>
    </row>
    <row r="118" spans="1:27" s="103" customFormat="1" ht="14.25" customHeight="1" x14ac:dyDescent="0.25">
      <c r="A118" s="9"/>
      <c r="B118" s="10"/>
      <c r="C118" s="2"/>
      <c r="D118" s="12"/>
      <c r="E118" s="10"/>
      <c r="F118" s="11"/>
      <c r="G118" s="11"/>
      <c r="H118" s="36"/>
      <c r="I118" s="36"/>
      <c r="J118" s="36"/>
      <c r="K118" s="36"/>
      <c r="L118" s="36"/>
      <c r="M118" s="36"/>
      <c r="N118" s="36"/>
      <c r="O118" s="10"/>
      <c r="P118" s="10"/>
      <c r="Q118" s="9"/>
      <c r="R118" s="9"/>
      <c r="S118" s="13"/>
      <c r="T118" s="35"/>
      <c r="U118" s="35"/>
      <c r="V118" s="35"/>
      <c r="W118" s="35"/>
      <c r="X118" s="9"/>
      <c r="Y118" s="35"/>
      <c r="Z118" s="9"/>
      <c r="AA118" s="9"/>
    </row>
    <row r="119" spans="1:27" s="103" customFormat="1" ht="16.5" customHeight="1" x14ac:dyDescent="0.25">
      <c r="A119" s="9"/>
      <c r="B119" s="10"/>
      <c r="C119" s="2"/>
      <c r="D119" s="12"/>
      <c r="E119" s="10"/>
      <c r="F119" s="11"/>
      <c r="G119" s="11"/>
      <c r="H119" s="36"/>
      <c r="I119" s="36"/>
      <c r="J119" s="36"/>
      <c r="K119" s="36"/>
      <c r="L119" s="36"/>
      <c r="M119" s="36"/>
      <c r="N119" s="36"/>
      <c r="O119" s="10"/>
      <c r="P119" s="10"/>
      <c r="Q119" s="9"/>
      <c r="R119" s="9"/>
      <c r="S119" s="13"/>
      <c r="T119" s="35"/>
      <c r="U119" s="35"/>
      <c r="V119" s="35"/>
      <c r="W119" s="35"/>
      <c r="X119" s="9"/>
      <c r="Y119" s="35"/>
      <c r="Z119" s="9"/>
      <c r="AA119" s="9"/>
    </row>
    <row r="120" spans="1:27" s="103" customFormat="1" ht="14.25" customHeight="1" x14ac:dyDescent="0.25">
      <c r="A120" s="9"/>
      <c r="B120" s="10"/>
      <c r="C120" s="2"/>
      <c r="D120" s="12"/>
      <c r="E120" s="10"/>
      <c r="F120" s="11"/>
      <c r="G120" s="11"/>
      <c r="H120" s="36"/>
      <c r="I120" s="36"/>
      <c r="J120" s="36"/>
      <c r="K120" s="36"/>
      <c r="L120" s="36"/>
      <c r="M120" s="36"/>
      <c r="N120" s="36"/>
      <c r="O120" s="10"/>
      <c r="P120" s="10"/>
      <c r="Q120" s="9"/>
      <c r="R120" s="9"/>
      <c r="S120" s="13"/>
      <c r="T120" s="35"/>
      <c r="U120" s="35"/>
      <c r="V120" s="35"/>
      <c r="W120" s="35"/>
      <c r="X120" s="9"/>
      <c r="Y120" s="35"/>
      <c r="Z120" s="9"/>
      <c r="AA120" s="9"/>
    </row>
    <row r="121" spans="1:27" s="103" customFormat="1" ht="14.25" customHeight="1" x14ac:dyDescent="0.25">
      <c r="A121" s="9"/>
      <c r="B121" s="10"/>
      <c r="C121" s="2"/>
      <c r="D121" s="12"/>
      <c r="E121" s="10"/>
      <c r="F121" s="11"/>
      <c r="G121" s="11"/>
      <c r="H121" s="36"/>
      <c r="I121" s="36"/>
      <c r="J121" s="36"/>
      <c r="K121" s="36"/>
      <c r="L121" s="36"/>
      <c r="M121" s="36"/>
      <c r="N121" s="36"/>
      <c r="O121" s="10"/>
      <c r="P121" s="10"/>
      <c r="Q121" s="9"/>
      <c r="R121" s="9"/>
      <c r="S121" s="13"/>
      <c r="T121" s="35"/>
      <c r="U121" s="35"/>
      <c r="V121" s="35"/>
      <c r="W121" s="35"/>
      <c r="X121" s="9"/>
      <c r="Y121" s="35"/>
      <c r="Z121" s="9"/>
      <c r="AA121" s="9"/>
    </row>
    <row r="122" spans="1:27" s="133" customFormat="1" ht="14.25" customHeight="1" x14ac:dyDescent="0.25">
      <c r="A122" s="9"/>
      <c r="B122" s="10"/>
      <c r="C122" s="2"/>
      <c r="D122" s="12"/>
      <c r="E122" s="10"/>
      <c r="F122" s="11"/>
      <c r="G122" s="11"/>
      <c r="H122" s="36"/>
      <c r="I122" s="36"/>
      <c r="J122" s="36"/>
      <c r="K122" s="36"/>
      <c r="L122" s="36"/>
      <c r="M122" s="36"/>
      <c r="N122" s="36"/>
      <c r="O122" s="10"/>
      <c r="P122" s="10"/>
      <c r="Q122" s="9"/>
      <c r="R122" s="9"/>
      <c r="S122" s="13"/>
      <c r="T122" s="35"/>
      <c r="U122" s="35"/>
      <c r="V122" s="35"/>
      <c r="W122" s="35"/>
      <c r="X122" s="9"/>
      <c r="Y122" s="35"/>
      <c r="Z122" s="9"/>
      <c r="AA122" s="9"/>
    </row>
    <row r="123" spans="1:27" s="103" customFormat="1" ht="14.25" customHeight="1" x14ac:dyDescent="0.25">
      <c r="A123" s="9"/>
      <c r="B123" s="10"/>
      <c r="C123" s="2"/>
      <c r="D123" s="12"/>
      <c r="E123" s="10"/>
      <c r="F123" s="11"/>
      <c r="G123" s="11"/>
      <c r="H123" s="36"/>
      <c r="I123" s="36"/>
      <c r="J123" s="36"/>
      <c r="K123" s="36"/>
      <c r="L123" s="36"/>
      <c r="M123" s="36"/>
      <c r="N123" s="36"/>
      <c r="O123" s="10"/>
      <c r="P123" s="10"/>
      <c r="Q123" s="9"/>
      <c r="R123" s="9"/>
      <c r="S123" s="13"/>
      <c r="T123" s="35"/>
      <c r="U123" s="35"/>
      <c r="V123" s="35"/>
      <c r="W123" s="35"/>
      <c r="X123" s="9"/>
      <c r="Y123" s="35"/>
      <c r="Z123" s="9"/>
      <c r="AA123" s="9"/>
    </row>
    <row r="124" spans="1:27" s="103" customFormat="1" ht="14.25" customHeight="1" x14ac:dyDescent="0.25">
      <c r="A124" s="9"/>
      <c r="B124" s="10"/>
      <c r="C124" s="2"/>
      <c r="D124" s="12"/>
      <c r="E124" s="10"/>
      <c r="F124" s="11"/>
      <c r="G124" s="11"/>
      <c r="H124" s="36"/>
      <c r="I124" s="36"/>
      <c r="J124" s="36"/>
      <c r="K124" s="36"/>
      <c r="L124" s="36"/>
      <c r="M124" s="36"/>
      <c r="N124" s="36"/>
      <c r="O124" s="10"/>
      <c r="P124" s="10"/>
      <c r="Q124" s="9"/>
      <c r="R124" s="9"/>
      <c r="S124" s="13"/>
      <c r="T124" s="35"/>
      <c r="U124" s="35"/>
      <c r="V124" s="35"/>
      <c r="W124" s="35"/>
      <c r="X124" s="9"/>
      <c r="Y124" s="35"/>
      <c r="Z124" s="9"/>
      <c r="AA124" s="9"/>
    </row>
    <row r="125" spans="1:27" s="103" customFormat="1" ht="14.25" customHeight="1" x14ac:dyDescent="0.25">
      <c r="A125" s="9"/>
      <c r="B125" s="10"/>
      <c r="C125" s="2"/>
      <c r="D125" s="12"/>
      <c r="E125" s="10"/>
      <c r="F125" s="11"/>
      <c r="G125" s="11"/>
      <c r="H125" s="36"/>
      <c r="I125" s="36"/>
      <c r="J125" s="36"/>
      <c r="K125" s="36"/>
      <c r="L125" s="36"/>
      <c r="M125" s="36"/>
      <c r="N125" s="36"/>
      <c r="O125" s="10"/>
      <c r="P125" s="10"/>
      <c r="Q125" s="9"/>
      <c r="R125" s="9"/>
      <c r="S125" s="13"/>
      <c r="T125" s="35"/>
      <c r="U125" s="35"/>
      <c r="V125" s="35"/>
      <c r="W125" s="35"/>
      <c r="X125" s="9"/>
      <c r="Y125" s="35"/>
      <c r="Z125" s="9"/>
      <c r="AA125" s="9"/>
    </row>
    <row r="126" spans="1:27" s="103" customFormat="1" ht="14.25" customHeight="1" x14ac:dyDescent="0.25">
      <c r="A126" s="9"/>
      <c r="B126" s="10"/>
      <c r="C126" s="2"/>
      <c r="D126" s="12"/>
      <c r="E126" s="10"/>
      <c r="F126" s="11"/>
      <c r="G126" s="11"/>
      <c r="H126" s="36"/>
      <c r="I126" s="36"/>
      <c r="J126" s="36"/>
      <c r="K126" s="36"/>
      <c r="L126" s="36"/>
      <c r="M126" s="36"/>
      <c r="N126" s="36"/>
      <c r="O126" s="10"/>
      <c r="P126" s="10"/>
      <c r="Q126" s="9"/>
      <c r="R126" s="9"/>
      <c r="S126" s="13"/>
      <c r="T126" s="35"/>
      <c r="U126" s="35"/>
      <c r="V126" s="35"/>
      <c r="W126" s="35"/>
      <c r="X126" s="9"/>
      <c r="Y126" s="35"/>
      <c r="Z126" s="9"/>
      <c r="AA126" s="9"/>
    </row>
    <row r="127" spans="1:27" s="103" customFormat="1" ht="14.25" customHeight="1" x14ac:dyDescent="0.25">
      <c r="A127" s="9"/>
      <c r="B127" s="10"/>
      <c r="C127" s="2"/>
      <c r="D127" s="12"/>
      <c r="E127" s="10"/>
      <c r="F127" s="11"/>
      <c r="G127" s="11"/>
      <c r="H127" s="36"/>
      <c r="I127" s="36"/>
      <c r="J127" s="36"/>
      <c r="K127" s="36"/>
      <c r="L127" s="36"/>
      <c r="M127" s="36"/>
      <c r="N127" s="36"/>
      <c r="O127" s="10"/>
      <c r="P127" s="10"/>
      <c r="Q127" s="9"/>
      <c r="R127" s="9"/>
      <c r="S127" s="13"/>
      <c r="T127" s="35"/>
      <c r="U127" s="35"/>
      <c r="V127" s="35"/>
      <c r="W127" s="35"/>
      <c r="X127" s="9"/>
      <c r="Y127" s="35"/>
      <c r="Z127" s="9"/>
      <c r="AA127" s="9"/>
    </row>
    <row r="128" spans="1:27" s="103" customFormat="1" ht="14.25" customHeight="1" x14ac:dyDescent="0.25">
      <c r="A128" s="9"/>
      <c r="B128" s="10"/>
      <c r="C128" s="2"/>
      <c r="D128" s="12"/>
      <c r="E128" s="10"/>
      <c r="F128" s="11"/>
      <c r="G128" s="11"/>
      <c r="H128" s="36"/>
      <c r="I128" s="36"/>
      <c r="J128" s="36"/>
      <c r="K128" s="36"/>
      <c r="L128" s="36"/>
      <c r="M128" s="36"/>
      <c r="N128" s="36"/>
      <c r="O128" s="10"/>
      <c r="P128" s="10"/>
      <c r="Q128" s="9"/>
      <c r="R128" s="9"/>
      <c r="S128" s="13"/>
      <c r="T128" s="35"/>
      <c r="U128" s="35"/>
      <c r="V128" s="35"/>
      <c r="W128" s="35"/>
      <c r="X128" s="9"/>
      <c r="Y128" s="35"/>
      <c r="Z128" s="9"/>
      <c r="AA128" s="9"/>
    </row>
    <row r="129" spans="1:27" s="103" customFormat="1" ht="14.25" customHeight="1" x14ac:dyDescent="0.25">
      <c r="A129" s="9"/>
      <c r="B129" s="10"/>
      <c r="C129" s="2"/>
      <c r="D129" s="12"/>
      <c r="E129" s="10"/>
      <c r="F129" s="11"/>
      <c r="G129" s="11"/>
      <c r="H129" s="36"/>
      <c r="I129" s="36"/>
      <c r="J129" s="36"/>
      <c r="K129" s="36"/>
      <c r="L129" s="36"/>
      <c r="M129" s="36"/>
      <c r="N129" s="36"/>
      <c r="O129" s="10"/>
      <c r="P129" s="10"/>
      <c r="Q129" s="9"/>
      <c r="R129" s="9"/>
      <c r="S129" s="13"/>
      <c r="T129" s="35"/>
      <c r="U129" s="35"/>
      <c r="V129" s="35"/>
      <c r="W129" s="35"/>
      <c r="X129" s="9"/>
      <c r="Y129" s="35"/>
      <c r="Z129" s="9"/>
      <c r="AA129" s="9"/>
    </row>
    <row r="130" spans="1:27" s="103" customFormat="1" ht="14.25" customHeight="1" x14ac:dyDescent="0.25">
      <c r="A130" s="9"/>
      <c r="B130" s="10"/>
      <c r="C130" s="2"/>
      <c r="D130" s="12"/>
      <c r="E130" s="10"/>
      <c r="F130" s="11"/>
      <c r="G130" s="11"/>
      <c r="H130" s="36"/>
      <c r="I130" s="36"/>
      <c r="J130" s="36"/>
      <c r="K130" s="36"/>
      <c r="L130" s="36"/>
      <c r="M130" s="36"/>
      <c r="N130" s="36"/>
      <c r="O130" s="10"/>
      <c r="P130" s="10"/>
      <c r="Q130" s="9"/>
      <c r="R130" s="9"/>
      <c r="S130" s="13"/>
      <c r="T130" s="35"/>
      <c r="U130" s="35"/>
      <c r="V130" s="35"/>
      <c r="W130" s="35"/>
      <c r="X130" s="9"/>
      <c r="Y130" s="35"/>
      <c r="Z130" s="9"/>
      <c r="AA130" s="9"/>
    </row>
    <row r="131" spans="1:27" s="132" customFormat="1" ht="14.25" customHeight="1" x14ac:dyDescent="0.25">
      <c r="A131" s="9"/>
      <c r="B131" s="10"/>
      <c r="C131" s="2"/>
      <c r="D131" s="12"/>
      <c r="E131" s="10"/>
      <c r="F131" s="11"/>
      <c r="G131" s="11"/>
      <c r="H131" s="36"/>
      <c r="I131" s="36"/>
      <c r="J131" s="36"/>
      <c r="K131" s="36"/>
      <c r="L131" s="36"/>
      <c r="M131" s="36"/>
      <c r="N131" s="36"/>
      <c r="O131" s="10"/>
      <c r="P131" s="10"/>
      <c r="Q131" s="9"/>
      <c r="R131" s="9"/>
      <c r="S131" s="13"/>
      <c r="T131" s="35"/>
      <c r="U131" s="35"/>
      <c r="V131" s="35"/>
      <c r="W131" s="35"/>
      <c r="X131" s="9"/>
      <c r="Y131" s="35"/>
      <c r="Z131" s="9"/>
      <c r="AA131" s="9"/>
    </row>
    <row r="132" spans="1:27" s="103" customFormat="1" ht="14.25" customHeight="1" x14ac:dyDescent="0.25">
      <c r="A132" s="9"/>
      <c r="B132" s="10"/>
      <c r="C132" s="2"/>
      <c r="D132" s="12"/>
      <c r="E132" s="10"/>
      <c r="F132" s="11"/>
      <c r="G132" s="11"/>
      <c r="H132" s="36"/>
      <c r="I132" s="36"/>
      <c r="J132" s="36"/>
      <c r="K132" s="36"/>
      <c r="L132" s="36"/>
      <c r="M132" s="36"/>
      <c r="N132" s="36"/>
      <c r="O132" s="10"/>
      <c r="P132" s="10"/>
      <c r="Q132" s="9"/>
      <c r="R132" s="9"/>
      <c r="S132" s="13"/>
      <c r="T132" s="35"/>
      <c r="U132" s="35"/>
      <c r="V132" s="35"/>
      <c r="W132" s="35"/>
      <c r="X132" s="9"/>
      <c r="Y132" s="35"/>
      <c r="Z132" s="9"/>
      <c r="AA132" s="9"/>
    </row>
    <row r="133" spans="1:27" s="103" customFormat="1" ht="14.25" customHeight="1" x14ac:dyDescent="0.25">
      <c r="A133" s="9"/>
      <c r="B133" s="10"/>
      <c r="C133" s="2"/>
      <c r="D133" s="12"/>
      <c r="E133" s="10"/>
      <c r="F133" s="11"/>
      <c r="G133" s="11"/>
      <c r="H133" s="36"/>
      <c r="I133" s="36"/>
      <c r="J133" s="36"/>
      <c r="K133" s="36"/>
      <c r="L133" s="36"/>
      <c r="M133" s="36"/>
      <c r="N133" s="36"/>
      <c r="O133" s="10"/>
      <c r="P133" s="10"/>
      <c r="Q133" s="9"/>
      <c r="R133" s="9"/>
      <c r="S133" s="13"/>
      <c r="T133" s="35"/>
      <c r="U133" s="35"/>
      <c r="V133" s="35"/>
      <c r="W133" s="35"/>
      <c r="X133" s="9"/>
      <c r="Y133" s="35"/>
      <c r="Z133" s="9"/>
      <c r="AA133" s="9"/>
    </row>
    <row r="134" spans="1:27" s="103" customFormat="1" ht="14.25" customHeight="1" x14ac:dyDescent="0.25">
      <c r="A134" s="9"/>
      <c r="B134" s="10"/>
      <c r="C134" s="2"/>
      <c r="D134" s="12"/>
      <c r="E134" s="10"/>
      <c r="F134" s="11"/>
      <c r="G134" s="11"/>
      <c r="H134" s="36"/>
      <c r="I134" s="36"/>
      <c r="J134" s="36"/>
      <c r="K134" s="36"/>
      <c r="L134" s="36"/>
      <c r="M134" s="36"/>
      <c r="N134" s="36"/>
      <c r="O134" s="10"/>
      <c r="P134" s="10"/>
      <c r="Q134" s="9"/>
      <c r="R134" s="9"/>
      <c r="S134" s="13"/>
      <c r="T134" s="35"/>
      <c r="U134" s="35"/>
      <c r="V134" s="35"/>
      <c r="W134" s="35"/>
      <c r="X134" s="9"/>
      <c r="Y134" s="35"/>
      <c r="Z134" s="9"/>
      <c r="AA134" s="9"/>
    </row>
    <row r="135" spans="1:27" s="103" customFormat="1" ht="14.25" customHeight="1" x14ac:dyDescent="0.25">
      <c r="A135" s="9"/>
      <c r="B135" s="10"/>
      <c r="C135" s="2"/>
      <c r="D135" s="12"/>
      <c r="E135" s="10"/>
      <c r="F135" s="11"/>
      <c r="G135" s="11"/>
      <c r="H135" s="36"/>
      <c r="I135" s="36"/>
      <c r="J135" s="36"/>
      <c r="K135" s="36"/>
      <c r="L135" s="36"/>
      <c r="M135" s="36"/>
      <c r="N135" s="36"/>
      <c r="O135" s="10"/>
      <c r="P135" s="10"/>
      <c r="Q135" s="9"/>
      <c r="R135" s="9"/>
      <c r="S135" s="13"/>
      <c r="T135" s="35"/>
      <c r="U135" s="35"/>
      <c r="V135" s="35"/>
      <c r="W135" s="35"/>
      <c r="X135" s="9"/>
      <c r="Y135" s="35"/>
      <c r="Z135" s="9"/>
      <c r="AA135" s="9"/>
    </row>
    <row r="136" spans="1:27" s="103" customFormat="1" ht="14.25" customHeight="1" x14ac:dyDescent="0.25">
      <c r="A136" s="9"/>
      <c r="B136" s="10"/>
      <c r="C136" s="2"/>
      <c r="D136" s="12"/>
      <c r="E136" s="10"/>
      <c r="F136" s="11"/>
      <c r="G136" s="11"/>
      <c r="H136" s="36"/>
      <c r="I136" s="36"/>
      <c r="J136" s="36"/>
      <c r="K136" s="36"/>
      <c r="L136" s="36"/>
      <c r="M136" s="36"/>
      <c r="N136" s="36"/>
      <c r="O136" s="10"/>
      <c r="P136" s="10"/>
      <c r="Q136" s="9"/>
      <c r="R136" s="9"/>
      <c r="S136" s="13"/>
      <c r="T136" s="35"/>
      <c r="U136" s="35"/>
      <c r="V136" s="35"/>
      <c r="W136" s="35"/>
      <c r="X136" s="9"/>
      <c r="Y136" s="35"/>
      <c r="Z136" s="9"/>
      <c r="AA136" s="9"/>
    </row>
    <row r="137" spans="1:27" s="103" customFormat="1" ht="14.25" customHeight="1" x14ac:dyDescent="0.25">
      <c r="A137" s="9"/>
      <c r="B137" s="10"/>
      <c r="C137" s="2"/>
      <c r="D137" s="12"/>
      <c r="E137" s="10"/>
      <c r="F137" s="11"/>
      <c r="G137" s="11"/>
      <c r="H137" s="36"/>
      <c r="I137" s="36"/>
      <c r="J137" s="36"/>
      <c r="K137" s="36"/>
      <c r="L137" s="36"/>
      <c r="M137" s="36"/>
      <c r="N137" s="36"/>
      <c r="O137" s="10"/>
      <c r="P137" s="10"/>
      <c r="Q137" s="9"/>
      <c r="R137" s="9"/>
      <c r="S137" s="13"/>
      <c r="T137" s="35"/>
      <c r="U137" s="35"/>
      <c r="V137" s="35"/>
      <c r="W137" s="35"/>
      <c r="X137" s="9"/>
      <c r="Y137" s="35"/>
      <c r="Z137" s="9"/>
      <c r="AA137" s="9"/>
    </row>
    <row r="138" spans="1:27" s="103" customFormat="1" ht="14.25" customHeight="1" x14ac:dyDescent="0.25">
      <c r="A138" s="9"/>
      <c r="B138" s="10"/>
      <c r="C138" s="2"/>
      <c r="D138" s="12"/>
      <c r="E138" s="10"/>
      <c r="F138" s="11"/>
      <c r="G138" s="11"/>
      <c r="H138" s="36"/>
      <c r="I138" s="36"/>
      <c r="J138" s="36"/>
      <c r="K138" s="36"/>
      <c r="L138" s="36"/>
      <c r="M138" s="36"/>
      <c r="N138" s="36"/>
      <c r="O138" s="10"/>
      <c r="P138" s="10"/>
      <c r="Q138" s="9"/>
      <c r="R138" s="9"/>
      <c r="S138" s="13"/>
      <c r="T138" s="35"/>
      <c r="U138" s="35"/>
      <c r="V138" s="35"/>
      <c r="W138" s="35"/>
      <c r="X138" s="9"/>
      <c r="Y138" s="35"/>
      <c r="Z138" s="9"/>
      <c r="AA138" s="9"/>
    </row>
    <row r="139" spans="1:27" s="103" customFormat="1" ht="14.25" customHeight="1" x14ac:dyDescent="0.25">
      <c r="A139" s="9"/>
      <c r="B139" s="10"/>
      <c r="C139" s="2"/>
      <c r="D139" s="12"/>
      <c r="E139" s="10"/>
      <c r="F139" s="11"/>
      <c r="G139" s="11"/>
      <c r="H139" s="36"/>
      <c r="I139" s="36"/>
      <c r="J139" s="36"/>
      <c r="K139" s="36"/>
      <c r="L139" s="36"/>
      <c r="M139" s="36"/>
      <c r="N139" s="36"/>
      <c r="O139" s="10"/>
      <c r="P139" s="10"/>
      <c r="Q139" s="9"/>
      <c r="R139" s="9"/>
      <c r="S139" s="13"/>
      <c r="T139" s="35"/>
      <c r="U139" s="35"/>
      <c r="V139" s="35"/>
      <c r="W139" s="35"/>
      <c r="X139" s="9"/>
      <c r="Y139" s="35"/>
      <c r="Z139" s="9"/>
      <c r="AA139" s="9"/>
    </row>
    <row r="140" spans="1:27" s="103" customFormat="1" ht="14.25" customHeight="1" x14ac:dyDescent="0.25">
      <c r="A140" s="9"/>
      <c r="B140" s="10"/>
      <c r="C140" s="2"/>
      <c r="D140" s="12"/>
      <c r="E140" s="10"/>
      <c r="F140" s="11"/>
      <c r="G140" s="11"/>
      <c r="H140" s="36"/>
      <c r="I140" s="36"/>
      <c r="J140" s="36"/>
      <c r="K140" s="36"/>
      <c r="L140" s="36"/>
      <c r="M140" s="36"/>
      <c r="N140" s="36"/>
      <c r="O140" s="10"/>
      <c r="P140" s="10"/>
      <c r="Q140" s="9"/>
      <c r="R140" s="9"/>
      <c r="S140" s="13"/>
      <c r="T140" s="35"/>
      <c r="U140" s="35"/>
      <c r="V140" s="35"/>
      <c r="W140" s="35"/>
      <c r="X140" s="9"/>
      <c r="Y140" s="35"/>
      <c r="Z140" s="9"/>
      <c r="AA140" s="9"/>
    </row>
    <row r="141" spans="1:27" s="103" customFormat="1" ht="14.25" customHeight="1" x14ac:dyDescent="0.25">
      <c r="A141" s="9"/>
      <c r="B141" s="10"/>
      <c r="C141" s="2"/>
      <c r="D141" s="12"/>
      <c r="E141" s="10"/>
      <c r="F141" s="11"/>
      <c r="G141" s="11"/>
      <c r="H141" s="36"/>
      <c r="I141" s="36"/>
      <c r="J141" s="36"/>
      <c r="K141" s="36"/>
      <c r="L141" s="36"/>
      <c r="M141" s="36"/>
      <c r="N141" s="36"/>
      <c r="O141" s="10"/>
      <c r="P141" s="10"/>
      <c r="Q141" s="9"/>
      <c r="R141" s="9"/>
      <c r="S141" s="13"/>
      <c r="T141" s="35"/>
      <c r="U141" s="35"/>
      <c r="V141" s="35"/>
      <c r="W141" s="35"/>
      <c r="X141" s="9"/>
      <c r="Y141" s="35"/>
      <c r="Z141" s="9"/>
      <c r="AA141" s="9"/>
    </row>
    <row r="142" spans="1:27" s="103" customFormat="1" ht="14.25" customHeight="1" x14ac:dyDescent="0.25">
      <c r="A142" s="9"/>
      <c r="B142" s="10"/>
      <c r="C142" s="2"/>
      <c r="D142" s="12"/>
      <c r="E142" s="10"/>
      <c r="F142" s="11"/>
      <c r="G142" s="11"/>
      <c r="H142" s="36"/>
      <c r="I142" s="36"/>
      <c r="J142" s="36"/>
      <c r="K142" s="36"/>
      <c r="L142" s="36"/>
      <c r="M142" s="36"/>
      <c r="N142" s="36"/>
      <c r="O142" s="10"/>
      <c r="P142" s="10"/>
      <c r="Q142" s="9"/>
      <c r="R142" s="9"/>
      <c r="S142" s="13"/>
      <c r="T142" s="35"/>
      <c r="U142" s="35"/>
      <c r="V142" s="35"/>
      <c r="W142" s="35"/>
      <c r="X142" s="9"/>
      <c r="Y142" s="35"/>
      <c r="Z142" s="9"/>
      <c r="AA142" s="9"/>
    </row>
    <row r="143" spans="1:27" s="103" customFormat="1" ht="14.25" customHeight="1" x14ac:dyDescent="0.25">
      <c r="A143" s="9"/>
      <c r="B143" s="10"/>
      <c r="C143" s="2"/>
      <c r="D143" s="12"/>
      <c r="E143" s="10"/>
      <c r="F143" s="11"/>
      <c r="G143" s="11"/>
      <c r="H143" s="36"/>
      <c r="I143" s="36"/>
      <c r="J143" s="36"/>
      <c r="K143" s="36"/>
      <c r="L143" s="36"/>
      <c r="M143" s="36"/>
      <c r="N143" s="36"/>
      <c r="O143" s="10"/>
      <c r="P143" s="10"/>
      <c r="Q143" s="9"/>
      <c r="R143" s="9"/>
      <c r="S143" s="13"/>
      <c r="T143" s="35"/>
      <c r="U143" s="35"/>
      <c r="V143" s="35"/>
      <c r="W143" s="35"/>
      <c r="X143" s="9"/>
      <c r="Y143" s="35"/>
      <c r="Z143" s="9"/>
      <c r="AA143" s="9"/>
    </row>
    <row r="144" spans="1:27" s="103" customFormat="1" ht="14.25" customHeight="1" x14ac:dyDescent="0.25">
      <c r="A144" s="9"/>
      <c r="B144" s="10"/>
      <c r="C144" s="2"/>
      <c r="D144" s="12"/>
      <c r="E144" s="10"/>
      <c r="F144" s="11"/>
      <c r="G144" s="11"/>
      <c r="H144" s="36"/>
      <c r="I144" s="36"/>
      <c r="J144" s="36"/>
      <c r="K144" s="36"/>
      <c r="L144" s="36"/>
      <c r="M144" s="36"/>
      <c r="N144" s="36"/>
      <c r="O144" s="10"/>
      <c r="P144" s="10"/>
      <c r="Q144" s="9"/>
      <c r="R144" s="9"/>
      <c r="S144" s="13"/>
      <c r="T144" s="35"/>
      <c r="U144" s="35"/>
      <c r="V144" s="35"/>
      <c r="W144" s="35"/>
      <c r="X144" s="9"/>
      <c r="Y144" s="35"/>
      <c r="Z144" s="9"/>
      <c r="AA144" s="9"/>
    </row>
    <row r="145" spans="1:27" s="103" customFormat="1" ht="14.25" customHeight="1" x14ac:dyDescent="0.25">
      <c r="A145" s="9"/>
      <c r="B145" s="10"/>
      <c r="C145" s="2"/>
      <c r="D145" s="12"/>
      <c r="E145" s="10"/>
      <c r="F145" s="11"/>
      <c r="G145" s="11"/>
      <c r="H145" s="36"/>
      <c r="I145" s="36"/>
      <c r="J145" s="36"/>
      <c r="K145" s="36"/>
      <c r="L145" s="36"/>
      <c r="M145" s="36"/>
      <c r="N145" s="36"/>
      <c r="O145" s="10"/>
      <c r="P145" s="10"/>
      <c r="Q145" s="9"/>
      <c r="R145" s="9"/>
      <c r="S145" s="13"/>
      <c r="T145" s="35"/>
      <c r="U145" s="35"/>
      <c r="V145" s="35"/>
      <c r="W145" s="35"/>
      <c r="X145" s="9"/>
      <c r="Y145" s="35"/>
      <c r="Z145" s="9"/>
      <c r="AA145" s="9"/>
    </row>
    <row r="146" spans="1:27" s="103" customFormat="1" ht="14.25" customHeight="1" x14ac:dyDescent="0.25">
      <c r="A146" s="9"/>
      <c r="B146" s="10"/>
      <c r="C146" s="2"/>
      <c r="D146" s="12"/>
      <c r="E146" s="10"/>
      <c r="F146" s="11"/>
      <c r="G146" s="11"/>
      <c r="H146" s="36"/>
      <c r="I146" s="36"/>
      <c r="J146" s="36"/>
      <c r="K146" s="36"/>
      <c r="L146" s="36"/>
      <c r="M146" s="36"/>
      <c r="N146" s="36"/>
      <c r="O146" s="10"/>
      <c r="P146" s="10"/>
      <c r="Q146" s="9"/>
      <c r="R146" s="9"/>
      <c r="S146" s="13"/>
      <c r="T146" s="35"/>
      <c r="U146" s="35"/>
      <c r="V146" s="35"/>
      <c r="W146" s="35"/>
      <c r="X146" s="9"/>
      <c r="Y146" s="35"/>
      <c r="Z146" s="9"/>
      <c r="AA146" s="9"/>
    </row>
    <row r="147" spans="1:27" s="103" customFormat="1" ht="14.25" customHeight="1" x14ac:dyDescent="0.25">
      <c r="A147" s="9"/>
      <c r="B147" s="10"/>
      <c r="C147" s="2"/>
      <c r="D147" s="12"/>
      <c r="E147" s="10"/>
      <c r="F147" s="11"/>
      <c r="G147" s="11"/>
      <c r="H147" s="36"/>
      <c r="I147" s="36"/>
      <c r="J147" s="36"/>
      <c r="K147" s="36"/>
      <c r="L147" s="36"/>
      <c r="M147" s="36"/>
      <c r="N147" s="36"/>
      <c r="O147" s="10"/>
      <c r="P147" s="10"/>
      <c r="Q147" s="9"/>
      <c r="R147" s="9"/>
      <c r="S147" s="13"/>
      <c r="T147" s="35"/>
      <c r="U147" s="35"/>
      <c r="V147" s="35"/>
      <c r="W147" s="35"/>
      <c r="X147" s="9"/>
      <c r="Y147" s="35"/>
      <c r="Z147" s="9"/>
      <c r="AA147" s="9"/>
    </row>
    <row r="148" spans="1:27" s="103" customFormat="1" ht="14.25" customHeight="1" x14ac:dyDescent="0.25">
      <c r="A148" s="9"/>
      <c r="B148" s="10"/>
      <c r="C148" s="2"/>
      <c r="D148" s="12"/>
      <c r="E148" s="10"/>
      <c r="F148" s="11"/>
      <c r="G148" s="11"/>
      <c r="H148" s="36"/>
      <c r="I148" s="36"/>
      <c r="J148" s="36"/>
      <c r="K148" s="36"/>
      <c r="L148" s="36"/>
      <c r="M148" s="36"/>
      <c r="N148" s="36"/>
      <c r="O148" s="10"/>
      <c r="P148" s="10"/>
      <c r="Q148" s="9"/>
      <c r="R148" s="9"/>
      <c r="S148" s="13"/>
      <c r="T148" s="35"/>
      <c r="U148" s="35"/>
      <c r="V148" s="35"/>
      <c r="W148" s="35"/>
      <c r="X148" s="9"/>
      <c r="Y148" s="35"/>
      <c r="Z148" s="9"/>
      <c r="AA148" s="9"/>
    </row>
    <row r="149" spans="1:27" s="103" customFormat="1" ht="14.25" customHeight="1" x14ac:dyDescent="0.25">
      <c r="A149" s="9"/>
      <c r="B149" s="10"/>
      <c r="C149" s="2"/>
      <c r="D149" s="12"/>
      <c r="E149" s="10"/>
      <c r="F149" s="11"/>
      <c r="G149" s="11"/>
      <c r="H149" s="36"/>
      <c r="I149" s="36"/>
      <c r="J149" s="36"/>
      <c r="K149" s="36"/>
      <c r="L149" s="36"/>
      <c r="M149" s="36"/>
      <c r="N149" s="36"/>
      <c r="O149" s="10"/>
      <c r="P149" s="10"/>
      <c r="Q149" s="9"/>
      <c r="R149" s="9"/>
      <c r="S149" s="13"/>
      <c r="T149" s="35"/>
      <c r="U149" s="35"/>
      <c r="V149" s="35"/>
      <c r="W149" s="35"/>
      <c r="X149" s="9"/>
      <c r="Y149" s="35"/>
      <c r="Z149" s="9"/>
      <c r="AA149" s="9"/>
    </row>
    <row r="150" spans="1:27" s="132" customFormat="1" x14ac:dyDescent="0.25">
      <c r="A150" s="9"/>
      <c r="B150" s="10"/>
      <c r="C150" s="2"/>
      <c r="D150" s="12"/>
      <c r="E150" s="10"/>
      <c r="F150" s="11"/>
      <c r="G150" s="11"/>
      <c r="H150" s="36"/>
      <c r="I150" s="36"/>
      <c r="J150" s="36"/>
      <c r="K150" s="36"/>
      <c r="L150" s="36"/>
      <c r="M150" s="36"/>
      <c r="N150" s="36"/>
      <c r="O150" s="10"/>
      <c r="P150" s="10"/>
      <c r="Q150" s="9"/>
      <c r="R150" s="9"/>
      <c r="S150" s="13"/>
      <c r="T150" s="35"/>
      <c r="U150" s="35"/>
      <c r="V150" s="35"/>
      <c r="W150" s="35"/>
      <c r="X150" s="9"/>
      <c r="Y150" s="35"/>
      <c r="Z150" s="9"/>
      <c r="AA150" s="9"/>
    </row>
    <row r="151" spans="1:27" s="103" customFormat="1" ht="14.25" customHeight="1" x14ac:dyDescent="0.25">
      <c r="A151" s="9"/>
      <c r="B151" s="10"/>
      <c r="C151" s="2"/>
      <c r="D151" s="12"/>
      <c r="E151" s="10"/>
      <c r="F151" s="11"/>
      <c r="G151" s="11"/>
      <c r="H151" s="36"/>
      <c r="I151" s="36"/>
      <c r="J151" s="36"/>
      <c r="K151" s="36"/>
      <c r="L151" s="36"/>
      <c r="M151" s="36"/>
      <c r="N151" s="36"/>
      <c r="O151" s="10"/>
      <c r="P151" s="10"/>
      <c r="Q151" s="9"/>
      <c r="R151" s="9"/>
      <c r="S151" s="13"/>
      <c r="T151" s="35"/>
      <c r="U151" s="35"/>
      <c r="V151" s="35"/>
      <c r="W151" s="35"/>
      <c r="X151" s="9"/>
      <c r="Y151" s="35"/>
      <c r="Z151" s="9"/>
      <c r="AA151" s="9"/>
    </row>
    <row r="152" spans="1:27" s="103" customFormat="1" ht="14.25" customHeight="1" x14ac:dyDescent="0.25">
      <c r="A152" s="9"/>
      <c r="B152" s="10"/>
      <c r="C152" s="2"/>
      <c r="D152" s="12"/>
      <c r="E152" s="10"/>
      <c r="F152" s="11"/>
      <c r="G152" s="11"/>
      <c r="H152" s="36"/>
      <c r="I152" s="36"/>
      <c r="J152" s="36"/>
      <c r="K152" s="36"/>
      <c r="L152" s="36"/>
      <c r="M152" s="36"/>
      <c r="N152" s="36"/>
      <c r="O152" s="10"/>
      <c r="P152" s="10"/>
      <c r="Q152" s="9"/>
      <c r="R152" s="9"/>
      <c r="S152" s="13"/>
      <c r="T152" s="35"/>
      <c r="U152" s="35"/>
      <c r="V152" s="35"/>
      <c r="W152" s="35"/>
      <c r="X152" s="9"/>
      <c r="Y152" s="35"/>
      <c r="Z152" s="9"/>
      <c r="AA152" s="9"/>
    </row>
    <row r="153" spans="1:27" s="103" customFormat="1" ht="14.25" customHeight="1" x14ac:dyDescent="0.25">
      <c r="A153" s="9"/>
      <c r="B153" s="10"/>
      <c r="C153" s="2"/>
      <c r="D153" s="12"/>
      <c r="E153" s="10"/>
      <c r="F153" s="11"/>
      <c r="G153" s="11"/>
      <c r="H153" s="36"/>
      <c r="I153" s="36"/>
      <c r="J153" s="36"/>
      <c r="K153" s="36"/>
      <c r="L153" s="36"/>
      <c r="M153" s="36"/>
      <c r="N153" s="36"/>
      <c r="O153" s="10"/>
      <c r="P153" s="10"/>
      <c r="Q153" s="9"/>
      <c r="R153" s="9"/>
      <c r="S153" s="13"/>
      <c r="T153" s="35"/>
      <c r="U153" s="35"/>
      <c r="V153" s="35"/>
      <c r="W153" s="35"/>
      <c r="X153" s="9"/>
      <c r="Y153" s="35"/>
      <c r="Z153" s="9"/>
      <c r="AA153" s="9"/>
    </row>
    <row r="154" spans="1:27" s="103" customFormat="1" ht="14.25" customHeight="1" x14ac:dyDescent="0.25">
      <c r="A154" s="9"/>
      <c r="B154" s="10"/>
      <c r="C154" s="2"/>
      <c r="D154" s="12"/>
      <c r="E154" s="10"/>
      <c r="F154" s="11"/>
      <c r="G154" s="11"/>
      <c r="H154" s="36"/>
      <c r="I154" s="36"/>
      <c r="J154" s="36"/>
      <c r="K154" s="36"/>
      <c r="L154" s="36"/>
      <c r="M154" s="36"/>
      <c r="N154" s="36"/>
      <c r="O154" s="10"/>
      <c r="P154" s="10"/>
      <c r="Q154" s="9"/>
      <c r="R154" s="9"/>
      <c r="S154" s="13"/>
      <c r="T154" s="35"/>
      <c r="U154" s="35"/>
      <c r="V154" s="35"/>
      <c r="W154" s="35"/>
      <c r="X154" s="9"/>
      <c r="Y154" s="35"/>
      <c r="Z154" s="9"/>
      <c r="AA154" s="9"/>
    </row>
    <row r="155" spans="1:27" s="103" customFormat="1" ht="14.25" customHeight="1" x14ac:dyDescent="0.25">
      <c r="A155" s="9"/>
      <c r="B155" s="10"/>
      <c r="C155" s="2"/>
      <c r="D155" s="12"/>
      <c r="E155" s="10"/>
      <c r="F155" s="11"/>
      <c r="G155" s="11"/>
      <c r="H155" s="36"/>
      <c r="I155" s="36"/>
      <c r="J155" s="36"/>
      <c r="K155" s="36"/>
      <c r="L155" s="36"/>
      <c r="M155" s="36"/>
      <c r="N155" s="36"/>
      <c r="O155" s="10"/>
      <c r="P155" s="10"/>
      <c r="Q155" s="9"/>
      <c r="R155" s="9"/>
      <c r="S155" s="13"/>
      <c r="T155" s="35"/>
      <c r="U155" s="35"/>
      <c r="V155" s="35"/>
      <c r="W155" s="35"/>
      <c r="X155" s="9"/>
      <c r="Y155" s="35"/>
      <c r="Z155" s="9"/>
      <c r="AA155" s="9"/>
    </row>
    <row r="156" spans="1:27" s="103" customFormat="1" ht="14.25" customHeight="1" x14ac:dyDescent="0.25">
      <c r="A156" s="9"/>
      <c r="B156" s="10"/>
      <c r="C156" s="2"/>
      <c r="D156" s="12"/>
      <c r="E156" s="10"/>
      <c r="F156" s="11"/>
      <c r="G156" s="11"/>
      <c r="H156" s="36"/>
      <c r="I156" s="36"/>
      <c r="J156" s="36"/>
      <c r="K156" s="36"/>
      <c r="L156" s="36"/>
      <c r="M156" s="36"/>
      <c r="N156" s="36"/>
      <c r="O156" s="10"/>
      <c r="P156" s="10"/>
      <c r="Q156" s="9"/>
      <c r="R156" s="9"/>
      <c r="S156" s="13"/>
      <c r="T156" s="35"/>
      <c r="U156" s="35"/>
      <c r="V156" s="35"/>
      <c r="W156" s="35"/>
      <c r="X156" s="9"/>
      <c r="Y156" s="35"/>
      <c r="Z156" s="9"/>
      <c r="AA156" s="9"/>
    </row>
    <row r="157" spans="1:27" s="103" customFormat="1" ht="14.25" customHeight="1" x14ac:dyDescent="0.25">
      <c r="A157" s="9"/>
      <c r="B157" s="10"/>
      <c r="C157" s="2"/>
      <c r="D157" s="12"/>
      <c r="E157" s="10"/>
      <c r="F157" s="11"/>
      <c r="G157" s="11"/>
      <c r="H157" s="36"/>
      <c r="I157" s="36"/>
      <c r="J157" s="36"/>
      <c r="K157" s="36"/>
      <c r="L157" s="36"/>
      <c r="M157" s="36"/>
      <c r="N157" s="36"/>
      <c r="O157" s="10"/>
      <c r="P157" s="10"/>
      <c r="Q157" s="9"/>
      <c r="R157" s="9"/>
      <c r="S157" s="13"/>
      <c r="T157" s="35"/>
      <c r="U157" s="35"/>
      <c r="V157" s="35"/>
      <c r="W157" s="35"/>
      <c r="X157" s="9"/>
      <c r="Y157" s="35"/>
      <c r="Z157" s="9"/>
      <c r="AA157" s="9"/>
    </row>
    <row r="158" spans="1:27" s="61" customFormat="1" x14ac:dyDescent="0.25">
      <c r="A158" s="9"/>
      <c r="B158" s="10"/>
      <c r="C158" s="2"/>
      <c r="D158" s="12"/>
      <c r="E158" s="10"/>
      <c r="F158" s="11"/>
      <c r="G158" s="11"/>
      <c r="H158" s="36"/>
      <c r="I158" s="36"/>
      <c r="J158" s="36"/>
      <c r="K158" s="36"/>
      <c r="L158" s="36"/>
      <c r="M158" s="36"/>
      <c r="N158" s="36"/>
      <c r="O158" s="10"/>
      <c r="P158" s="10"/>
      <c r="Q158" s="9"/>
      <c r="R158" s="9"/>
      <c r="S158" s="13"/>
      <c r="T158" s="35"/>
      <c r="U158" s="35"/>
      <c r="V158" s="35"/>
      <c r="W158" s="35"/>
      <c r="X158" s="9"/>
      <c r="Y158" s="35"/>
      <c r="Z158" s="9"/>
      <c r="AA158" s="9"/>
    </row>
    <row r="159" spans="1:27" s="132" customFormat="1" ht="14.25" customHeight="1" x14ac:dyDescent="0.25">
      <c r="A159" s="9"/>
      <c r="B159" s="10"/>
      <c r="C159" s="2"/>
      <c r="D159" s="12"/>
      <c r="E159" s="10"/>
      <c r="F159" s="11"/>
      <c r="G159" s="11"/>
      <c r="H159" s="36"/>
      <c r="I159" s="36"/>
      <c r="J159" s="36"/>
      <c r="K159" s="36"/>
      <c r="L159" s="36"/>
      <c r="M159" s="36"/>
      <c r="N159" s="36"/>
      <c r="O159" s="10"/>
      <c r="P159" s="10"/>
      <c r="Q159" s="9"/>
      <c r="R159" s="9"/>
      <c r="S159" s="13"/>
      <c r="T159" s="35"/>
      <c r="U159" s="35"/>
      <c r="V159" s="35"/>
      <c r="W159" s="35"/>
      <c r="X159" s="9"/>
      <c r="Y159" s="35"/>
      <c r="Z159" s="9"/>
      <c r="AA159" s="9"/>
    </row>
    <row r="160" spans="1:27" s="132" customFormat="1" ht="14.25" customHeight="1" x14ac:dyDescent="0.25">
      <c r="A160" s="9"/>
      <c r="B160" s="10"/>
      <c r="C160" s="2"/>
      <c r="D160" s="12"/>
      <c r="E160" s="10"/>
      <c r="F160" s="11"/>
      <c r="G160" s="11"/>
      <c r="H160" s="36"/>
      <c r="I160" s="36"/>
      <c r="J160" s="36"/>
      <c r="K160" s="36"/>
      <c r="L160" s="36"/>
      <c r="M160" s="36"/>
      <c r="N160" s="36"/>
      <c r="O160" s="10"/>
      <c r="P160" s="10"/>
      <c r="Q160" s="9"/>
      <c r="R160" s="9"/>
      <c r="S160" s="13"/>
      <c r="T160" s="35"/>
      <c r="U160" s="35"/>
      <c r="V160" s="35"/>
      <c r="W160" s="35"/>
      <c r="X160" s="9"/>
      <c r="Y160" s="35"/>
      <c r="Z160" s="9"/>
      <c r="AA160" s="9"/>
    </row>
    <row r="161" spans="1:27" s="132" customFormat="1" ht="16.5" customHeight="1" x14ac:dyDescent="0.25">
      <c r="A161" s="9"/>
      <c r="B161" s="10"/>
      <c r="C161" s="2"/>
      <c r="D161" s="12"/>
      <c r="E161" s="10"/>
      <c r="F161" s="11"/>
      <c r="G161" s="11"/>
      <c r="H161" s="36"/>
      <c r="I161" s="36"/>
      <c r="J161" s="36"/>
      <c r="K161" s="36"/>
      <c r="L161" s="36"/>
      <c r="M161" s="36"/>
      <c r="N161" s="36"/>
      <c r="O161" s="10"/>
      <c r="P161" s="10"/>
      <c r="Q161" s="9"/>
      <c r="R161" s="9"/>
      <c r="S161" s="13"/>
      <c r="T161" s="35"/>
      <c r="U161" s="35"/>
      <c r="V161" s="35"/>
      <c r="W161" s="35"/>
      <c r="X161" s="9"/>
      <c r="Y161" s="35"/>
      <c r="Z161" s="9"/>
      <c r="AA161" s="9"/>
    </row>
    <row r="162" spans="1:27" s="103" customFormat="1" ht="16.5" customHeight="1" x14ac:dyDescent="0.25">
      <c r="A162" s="9"/>
      <c r="B162" s="10"/>
      <c r="C162" s="2"/>
      <c r="D162" s="12"/>
      <c r="E162" s="10"/>
      <c r="F162" s="11"/>
      <c r="G162" s="11"/>
      <c r="H162" s="36"/>
      <c r="I162" s="36"/>
      <c r="J162" s="36"/>
      <c r="K162" s="36"/>
      <c r="L162" s="36"/>
      <c r="M162" s="36"/>
      <c r="N162" s="36"/>
      <c r="O162" s="10"/>
      <c r="P162" s="10"/>
      <c r="Q162" s="9"/>
      <c r="R162" s="9"/>
      <c r="S162" s="13"/>
      <c r="T162" s="35"/>
      <c r="U162" s="35"/>
      <c r="V162" s="35"/>
      <c r="W162" s="35"/>
      <c r="X162" s="9"/>
      <c r="Y162" s="35"/>
      <c r="Z162" s="9"/>
      <c r="AA162" s="9"/>
    </row>
    <row r="163" spans="1:27" s="103" customFormat="1" ht="16.5" customHeight="1" x14ac:dyDescent="0.25">
      <c r="A163" s="9"/>
      <c r="B163" s="10"/>
      <c r="C163" s="2"/>
      <c r="D163" s="12"/>
      <c r="E163" s="10"/>
      <c r="F163" s="11"/>
      <c r="G163" s="11"/>
      <c r="H163" s="36"/>
      <c r="I163" s="36"/>
      <c r="J163" s="36"/>
      <c r="K163" s="36"/>
      <c r="L163" s="36"/>
      <c r="M163" s="36"/>
      <c r="N163" s="36"/>
      <c r="O163" s="10"/>
      <c r="P163" s="10"/>
      <c r="Q163" s="9"/>
      <c r="R163" s="9"/>
      <c r="S163" s="13"/>
      <c r="T163" s="35"/>
      <c r="U163" s="35"/>
      <c r="V163" s="35"/>
      <c r="W163" s="35"/>
      <c r="X163" s="9"/>
      <c r="Y163" s="35"/>
      <c r="Z163" s="9"/>
      <c r="AA163" s="9"/>
    </row>
    <row r="164" spans="1:27" s="103" customFormat="1" ht="14.25" customHeight="1" x14ac:dyDescent="0.25">
      <c r="A164" s="9"/>
      <c r="B164" s="10"/>
      <c r="C164" s="2"/>
      <c r="D164" s="12"/>
      <c r="E164" s="10"/>
      <c r="F164" s="11"/>
      <c r="G164" s="11"/>
      <c r="H164" s="36"/>
      <c r="I164" s="36"/>
      <c r="J164" s="36"/>
      <c r="K164" s="36"/>
      <c r="L164" s="36"/>
      <c r="M164" s="36"/>
      <c r="N164" s="36"/>
      <c r="O164" s="10"/>
      <c r="P164" s="10"/>
      <c r="Q164" s="9"/>
      <c r="R164" s="9"/>
      <c r="S164" s="13"/>
      <c r="T164" s="35"/>
      <c r="U164" s="35"/>
      <c r="V164" s="35"/>
      <c r="W164" s="35"/>
      <c r="X164" s="9"/>
      <c r="Y164" s="35"/>
      <c r="Z164" s="9"/>
      <c r="AA164" s="9"/>
    </row>
    <row r="165" spans="1:27" s="103" customFormat="1" ht="14.25" customHeight="1" x14ac:dyDescent="0.25">
      <c r="A165" s="9"/>
      <c r="B165" s="10"/>
      <c r="C165" s="2"/>
      <c r="D165" s="12"/>
      <c r="E165" s="10"/>
      <c r="F165" s="11"/>
      <c r="G165" s="11"/>
      <c r="H165" s="36"/>
      <c r="I165" s="36"/>
      <c r="J165" s="36"/>
      <c r="K165" s="36"/>
      <c r="L165" s="36"/>
      <c r="M165" s="36"/>
      <c r="N165" s="36"/>
      <c r="O165" s="10"/>
      <c r="P165" s="10"/>
      <c r="Q165" s="9"/>
      <c r="R165" s="9"/>
      <c r="S165" s="13"/>
      <c r="T165" s="35"/>
      <c r="U165" s="35"/>
      <c r="V165" s="35"/>
      <c r="W165" s="35"/>
      <c r="X165" s="9"/>
      <c r="Y165" s="35"/>
      <c r="Z165" s="9"/>
      <c r="AA165" s="9"/>
    </row>
    <row r="166" spans="1:27" s="103" customFormat="1" ht="14.25" customHeight="1" x14ac:dyDescent="0.25">
      <c r="A166" s="9"/>
      <c r="B166" s="10"/>
      <c r="C166" s="2"/>
      <c r="D166" s="12"/>
      <c r="E166" s="10"/>
      <c r="F166" s="11"/>
      <c r="G166" s="11"/>
      <c r="H166" s="36"/>
      <c r="I166" s="36"/>
      <c r="J166" s="36"/>
      <c r="K166" s="36"/>
      <c r="L166" s="36"/>
      <c r="M166" s="36"/>
      <c r="N166" s="36"/>
      <c r="O166" s="10"/>
      <c r="P166" s="10"/>
      <c r="Q166" s="9"/>
      <c r="R166" s="9"/>
      <c r="S166" s="13"/>
      <c r="T166" s="35"/>
      <c r="U166" s="35"/>
      <c r="V166" s="35"/>
      <c r="W166" s="35"/>
      <c r="X166" s="9"/>
      <c r="Y166" s="35"/>
      <c r="Z166" s="9"/>
      <c r="AA166" s="9"/>
    </row>
    <row r="167" spans="1:27" s="103" customFormat="1" ht="14.25" customHeight="1" x14ac:dyDescent="0.25">
      <c r="A167" s="9"/>
      <c r="B167" s="10"/>
      <c r="C167" s="2"/>
      <c r="D167" s="12"/>
      <c r="E167" s="10"/>
      <c r="F167" s="11"/>
      <c r="G167" s="11"/>
      <c r="H167" s="36"/>
      <c r="I167" s="36"/>
      <c r="J167" s="36"/>
      <c r="K167" s="36"/>
      <c r="L167" s="36"/>
      <c r="M167" s="36"/>
      <c r="N167" s="36"/>
      <c r="O167" s="10"/>
      <c r="P167" s="10"/>
      <c r="Q167" s="9"/>
      <c r="R167" s="9"/>
      <c r="S167" s="13"/>
      <c r="T167" s="35"/>
      <c r="U167" s="35"/>
      <c r="V167" s="35"/>
      <c r="W167" s="35"/>
      <c r="X167" s="9"/>
      <c r="Y167" s="35"/>
      <c r="Z167" s="9"/>
      <c r="AA167" s="9"/>
    </row>
    <row r="168" spans="1:27" s="103" customFormat="1" ht="14.25" customHeight="1" x14ac:dyDescent="0.25">
      <c r="A168" s="9"/>
      <c r="B168" s="10"/>
      <c r="C168" s="2"/>
      <c r="D168" s="12"/>
      <c r="E168" s="10"/>
      <c r="F168" s="11"/>
      <c r="G168" s="11"/>
      <c r="H168" s="36"/>
      <c r="I168" s="36"/>
      <c r="J168" s="36"/>
      <c r="K168" s="36"/>
      <c r="L168" s="36"/>
      <c r="M168" s="36"/>
      <c r="N168" s="36"/>
      <c r="O168" s="10"/>
      <c r="P168" s="10"/>
      <c r="Q168" s="9"/>
      <c r="R168" s="9"/>
      <c r="S168" s="13"/>
      <c r="T168" s="35"/>
      <c r="U168" s="35"/>
      <c r="V168" s="35"/>
      <c r="W168" s="35"/>
      <c r="X168" s="9"/>
      <c r="Y168" s="35"/>
      <c r="Z168" s="9"/>
      <c r="AA168" s="9"/>
    </row>
    <row r="169" spans="1:27" s="103" customFormat="1" ht="16.5" customHeight="1" x14ac:dyDescent="0.25">
      <c r="A169" s="9"/>
      <c r="B169" s="10"/>
      <c r="C169" s="2"/>
      <c r="D169" s="12"/>
      <c r="E169" s="10"/>
      <c r="F169" s="11"/>
      <c r="G169" s="11"/>
      <c r="H169" s="36"/>
      <c r="I169" s="36"/>
      <c r="J169" s="36"/>
      <c r="K169" s="36"/>
      <c r="L169" s="36"/>
      <c r="M169" s="36"/>
      <c r="N169" s="36"/>
      <c r="O169" s="10"/>
      <c r="P169" s="10"/>
      <c r="Q169" s="9"/>
      <c r="R169" s="9"/>
      <c r="S169" s="13"/>
      <c r="T169" s="35"/>
      <c r="U169" s="35"/>
      <c r="V169" s="35"/>
      <c r="W169" s="35"/>
      <c r="X169" s="9"/>
      <c r="Y169" s="35"/>
      <c r="Z169" s="9"/>
      <c r="AA169" s="9"/>
    </row>
    <row r="170" spans="1:27" s="103" customFormat="1" ht="14.25" customHeight="1" x14ac:dyDescent="0.25">
      <c r="A170" s="9"/>
      <c r="B170" s="10"/>
      <c r="C170" s="2"/>
      <c r="D170" s="12"/>
      <c r="E170" s="10"/>
      <c r="F170" s="11"/>
      <c r="G170" s="11"/>
      <c r="H170" s="36"/>
      <c r="I170" s="36"/>
      <c r="J170" s="36"/>
      <c r="K170" s="36"/>
      <c r="L170" s="36"/>
      <c r="M170" s="36"/>
      <c r="N170" s="36"/>
      <c r="O170" s="10"/>
      <c r="P170" s="10"/>
      <c r="Q170" s="9"/>
      <c r="R170" s="9"/>
      <c r="S170" s="13"/>
      <c r="T170" s="35"/>
      <c r="U170" s="35"/>
      <c r="V170" s="35"/>
      <c r="W170" s="35"/>
      <c r="X170" s="9"/>
      <c r="Y170" s="35"/>
      <c r="Z170" s="9"/>
      <c r="AA170" s="9"/>
    </row>
    <row r="171" spans="1:27" s="103" customFormat="1" ht="14.25" customHeight="1" x14ac:dyDescent="0.25">
      <c r="A171" s="9"/>
      <c r="B171" s="10"/>
      <c r="C171" s="2"/>
      <c r="D171" s="12"/>
      <c r="E171" s="10"/>
      <c r="F171" s="11"/>
      <c r="G171" s="11"/>
      <c r="H171" s="36"/>
      <c r="I171" s="36"/>
      <c r="J171" s="36"/>
      <c r="K171" s="36"/>
      <c r="L171" s="36"/>
      <c r="M171" s="36"/>
      <c r="N171" s="36"/>
      <c r="O171" s="10"/>
      <c r="P171" s="10"/>
      <c r="Q171" s="9"/>
      <c r="R171" s="9"/>
      <c r="S171" s="13"/>
      <c r="T171" s="35"/>
      <c r="U171" s="35"/>
      <c r="V171" s="35"/>
      <c r="W171" s="35"/>
      <c r="X171" s="9"/>
      <c r="Y171" s="35"/>
      <c r="Z171" s="9"/>
      <c r="AA171" s="9"/>
    </row>
    <row r="172" spans="1:27" s="103" customFormat="1" ht="14.25" customHeight="1" x14ac:dyDescent="0.25">
      <c r="A172" s="9"/>
      <c r="B172" s="10"/>
      <c r="C172" s="2"/>
      <c r="D172" s="12"/>
      <c r="E172" s="10"/>
      <c r="F172" s="11"/>
      <c r="G172" s="11"/>
      <c r="H172" s="36"/>
      <c r="I172" s="36"/>
      <c r="J172" s="36"/>
      <c r="K172" s="36"/>
      <c r="L172" s="36"/>
      <c r="M172" s="36"/>
      <c r="N172" s="36"/>
      <c r="O172" s="10"/>
      <c r="P172" s="10"/>
      <c r="Q172" s="9"/>
      <c r="R172" s="9"/>
      <c r="S172" s="13"/>
      <c r="T172" s="35"/>
      <c r="U172" s="35"/>
      <c r="V172" s="35"/>
      <c r="W172" s="35"/>
      <c r="X172" s="9"/>
      <c r="Y172" s="35"/>
      <c r="Z172" s="9"/>
      <c r="AA172" s="9"/>
    </row>
    <row r="173" spans="1:27" s="103" customFormat="1" ht="14.25" customHeight="1" x14ac:dyDescent="0.25">
      <c r="A173" s="9"/>
      <c r="B173" s="10"/>
      <c r="C173" s="2"/>
      <c r="D173" s="12"/>
      <c r="E173" s="10"/>
      <c r="F173" s="11"/>
      <c r="G173" s="11"/>
      <c r="H173" s="36"/>
      <c r="I173" s="36"/>
      <c r="J173" s="36"/>
      <c r="K173" s="36"/>
      <c r="L173" s="36"/>
      <c r="M173" s="36"/>
      <c r="N173" s="36"/>
      <c r="O173" s="10"/>
      <c r="P173" s="10"/>
      <c r="Q173" s="9"/>
      <c r="R173" s="9"/>
      <c r="S173" s="13"/>
      <c r="T173" s="35"/>
      <c r="U173" s="35"/>
      <c r="V173" s="35"/>
      <c r="W173" s="35"/>
      <c r="X173" s="9"/>
      <c r="Y173" s="35"/>
      <c r="Z173" s="9"/>
      <c r="AA173" s="9"/>
    </row>
    <row r="174" spans="1:27" s="132" customFormat="1" x14ac:dyDescent="0.25">
      <c r="A174" s="9"/>
      <c r="B174" s="10"/>
      <c r="C174" s="2"/>
      <c r="D174" s="12"/>
      <c r="E174" s="10"/>
      <c r="F174" s="11"/>
      <c r="G174" s="11"/>
      <c r="H174" s="36"/>
      <c r="I174" s="36"/>
      <c r="J174" s="36"/>
      <c r="K174" s="36"/>
      <c r="L174" s="36"/>
      <c r="M174" s="36"/>
      <c r="N174" s="36"/>
      <c r="O174" s="10"/>
      <c r="P174" s="10"/>
      <c r="Q174" s="9"/>
      <c r="R174" s="9"/>
      <c r="S174" s="13"/>
      <c r="T174" s="35"/>
      <c r="U174" s="35"/>
      <c r="V174" s="35"/>
      <c r="W174" s="35"/>
      <c r="X174" s="9"/>
      <c r="Y174" s="35"/>
      <c r="Z174" s="9"/>
      <c r="AA174" s="9"/>
    </row>
    <row r="175" spans="1:27" s="103" customFormat="1" ht="14.25" customHeight="1" x14ac:dyDescent="0.25">
      <c r="A175" s="9"/>
      <c r="B175" s="10"/>
      <c r="C175" s="2"/>
      <c r="D175" s="12"/>
      <c r="E175" s="10"/>
      <c r="F175" s="11"/>
      <c r="G175" s="11"/>
      <c r="H175" s="36"/>
      <c r="I175" s="36"/>
      <c r="J175" s="36"/>
      <c r="K175" s="36"/>
      <c r="L175" s="36"/>
      <c r="M175" s="36"/>
      <c r="N175" s="36"/>
      <c r="O175" s="10"/>
      <c r="P175" s="10"/>
      <c r="Q175" s="9"/>
      <c r="R175" s="9"/>
      <c r="S175" s="13"/>
      <c r="T175" s="35"/>
      <c r="U175" s="35"/>
      <c r="V175" s="35"/>
      <c r="W175" s="35"/>
      <c r="X175" s="9"/>
      <c r="Y175" s="35"/>
      <c r="Z175" s="9"/>
      <c r="AA175" s="9"/>
    </row>
    <row r="176" spans="1:27" s="61" customFormat="1" x14ac:dyDescent="0.25">
      <c r="A176" s="9"/>
      <c r="B176" s="10"/>
      <c r="C176" s="2"/>
      <c r="D176" s="12"/>
      <c r="E176" s="10"/>
      <c r="F176" s="11"/>
      <c r="G176" s="11"/>
      <c r="H176" s="36"/>
      <c r="I176" s="36"/>
      <c r="J176" s="36"/>
      <c r="K176" s="36"/>
      <c r="L176" s="36"/>
      <c r="M176" s="36"/>
      <c r="N176" s="36"/>
      <c r="O176" s="10"/>
      <c r="P176" s="10"/>
      <c r="Q176" s="9"/>
      <c r="R176" s="9"/>
      <c r="S176" s="13"/>
      <c r="T176" s="35"/>
      <c r="U176" s="35"/>
      <c r="V176" s="35"/>
      <c r="W176" s="35"/>
      <c r="X176" s="9"/>
      <c r="Y176" s="35"/>
      <c r="Z176" s="9"/>
      <c r="AA176" s="9"/>
    </row>
    <row r="177" spans="1:27" s="61" customFormat="1" x14ac:dyDescent="0.25">
      <c r="A177" s="9"/>
      <c r="B177" s="10"/>
      <c r="C177" s="2"/>
      <c r="D177" s="12"/>
      <c r="E177" s="10"/>
      <c r="F177" s="11"/>
      <c r="G177" s="11"/>
      <c r="H177" s="36"/>
      <c r="I177" s="36"/>
      <c r="J177" s="36"/>
      <c r="K177" s="36"/>
      <c r="L177" s="36"/>
      <c r="M177" s="36"/>
      <c r="N177" s="36"/>
      <c r="O177" s="10"/>
      <c r="P177" s="10"/>
      <c r="Q177" s="9"/>
      <c r="R177" s="9"/>
      <c r="S177" s="13"/>
      <c r="T177" s="35"/>
      <c r="U177" s="35"/>
      <c r="V177" s="35"/>
      <c r="W177" s="35"/>
      <c r="X177" s="9"/>
      <c r="Y177" s="35"/>
      <c r="Z177" s="9"/>
      <c r="AA177" s="9"/>
    </row>
    <row r="178" spans="1:27" s="61" customFormat="1" x14ac:dyDescent="0.25">
      <c r="A178" s="9"/>
      <c r="B178" s="10"/>
      <c r="C178" s="2"/>
      <c r="D178" s="12"/>
      <c r="E178" s="10"/>
      <c r="F178" s="11"/>
      <c r="G178" s="11"/>
      <c r="H178" s="36"/>
      <c r="I178" s="36"/>
      <c r="J178" s="36"/>
      <c r="K178" s="36"/>
      <c r="L178" s="36"/>
      <c r="M178" s="36"/>
      <c r="N178" s="36"/>
      <c r="O178" s="10"/>
      <c r="P178" s="10"/>
      <c r="Q178" s="9"/>
      <c r="R178" s="9"/>
      <c r="S178" s="13"/>
      <c r="T178" s="35"/>
      <c r="U178" s="35"/>
      <c r="V178" s="35"/>
      <c r="W178" s="35"/>
      <c r="X178" s="9"/>
      <c r="Y178" s="35"/>
      <c r="Z178" s="9"/>
      <c r="AA178" s="9"/>
    </row>
    <row r="179" spans="1:27" s="61" customFormat="1" x14ac:dyDescent="0.25">
      <c r="A179" s="9"/>
      <c r="B179" s="10"/>
      <c r="C179" s="2"/>
      <c r="D179" s="12"/>
      <c r="E179" s="10"/>
      <c r="F179" s="11"/>
      <c r="G179" s="11"/>
      <c r="H179" s="36"/>
      <c r="I179" s="36"/>
      <c r="J179" s="36"/>
      <c r="K179" s="36"/>
      <c r="L179" s="36"/>
      <c r="M179" s="36"/>
      <c r="N179" s="36"/>
      <c r="O179" s="10"/>
      <c r="P179" s="10"/>
      <c r="Q179" s="9"/>
      <c r="R179" s="9"/>
      <c r="S179" s="13"/>
      <c r="T179" s="35"/>
      <c r="U179" s="35"/>
      <c r="V179" s="35"/>
      <c r="W179" s="35"/>
      <c r="X179" s="9"/>
      <c r="Y179" s="35"/>
      <c r="Z179" s="9"/>
      <c r="AA179" s="9"/>
    </row>
    <row r="180" spans="1:27" s="61" customFormat="1" x14ac:dyDescent="0.25">
      <c r="A180" s="9"/>
      <c r="B180" s="10"/>
      <c r="C180" s="2"/>
      <c r="D180" s="12"/>
      <c r="E180" s="10"/>
      <c r="F180" s="11"/>
      <c r="G180" s="11"/>
      <c r="H180" s="36"/>
      <c r="I180" s="36"/>
      <c r="J180" s="36"/>
      <c r="K180" s="36"/>
      <c r="L180" s="36"/>
      <c r="M180" s="36"/>
      <c r="N180" s="36"/>
      <c r="O180" s="10"/>
      <c r="P180" s="10"/>
      <c r="Q180" s="9"/>
      <c r="R180" s="9"/>
      <c r="S180" s="13"/>
      <c r="T180" s="35"/>
      <c r="U180" s="35"/>
      <c r="V180" s="35"/>
      <c r="W180" s="35"/>
      <c r="X180" s="9"/>
      <c r="Y180" s="35"/>
      <c r="Z180" s="9"/>
      <c r="AA180" s="9"/>
    </row>
    <row r="181" spans="1:27" s="61" customFormat="1" x14ac:dyDescent="0.25">
      <c r="A181" s="9"/>
      <c r="B181" s="10"/>
      <c r="C181" s="2"/>
      <c r="D181" s="12"/>
      <c r="E181" s="10"/>
      <c r="F181" s="11"/>
      <c r="G181" s="11"/>
      <c r="H181" s="36"/>
      <c r="I181" s="36"/>
      <c r="J181" s="36"/>
      <c r="K181" s="36"/>
      <c r="L181" s="36"/>
      <c r="M181" s="36"/>
      <c r="N181" s="36"/>
      <c r="O181" s="10"/>
      <c r="P181" s="10"/>
      <c r="Q181" s="9"/>
      <c r="R181" s="9"/>
      <c r="S181" s="13"/>
      <c r="T181" s="35"/>
      <c r="U181" s="35"/>
      <c r="V181" s="35"/>
      <c r="W181" s="35"/>
      <c r="X181" s="9"/>
      <c r="Y181" s="35"/>
      <c r="Z181" s="9"/>
      <c r="AA181" s="9"/>
    </row>
    <row r="182" spans="1:27" s="61" customFormat="1" ht="15" customHeight="1" x14ac:dyDescent="0.25">
      <c r="A182" s="9"/>
      <c r="B182" s="10"/>
      <c r="C182" s="2"/>
      <c r="D182" s="12"/>
      <c r="E182" s="10"/>
      <c r="F182" s="11"/>
      <c r="G182" s="11"/>
      <c r="H182" s="36"/>
      <c r="I182" s="36"/>
      <c r="J182" s="36"/>
      <c r="K182" s="36"/>
      <c r="L182" s="36"/>
      <c r="M182" s="36"/>
      <c r="N182" s="36"/>
      <c r="O182" s="10"/>
      <c r="P182" s="10"/>
      <c r="Q182" s="9"/>
      <c r="R182" s="9"/>
      <c r="S182" s="13"/>
      <c r="T182" s="35"/>
      <c r="U182" s="35"/>
      <c r="V182" s="35"/>
      <c r="W182" s="35"/>
      <c r="X182" s="9"/>
      <c r="Y182" s="35"/>
      <c r="Z182" s="9"/>
      <c r="AA182" s="9"/>
    </row>
    <row r="183" spans="1:27" s="61" customFormat="1" x14ac:dyDescent="0.25">
      <c r="A183" s="9"/>
      <c r="B183" s="10"/>
      <c r="C183" s="2"/>
      <c r="D183" s="12"/>
      <c r="E183" s="10"/>
      <c r="F183" s="11"/>
      <c r="G183" s="11"/>
      <c r="H183" s="36"/>
      <c r="I183" s="36"/>
      <c r="J183" s="36"/>
      <c r="K183" s="36"/>
      <c r="L183" s="36"/>
      <c r="M183" s="36"/>
      <c r="N183" s="36"/>
      <c r="O183" s="10"/>
      <c r="P183" s="10"/>
      <c r="Q183" s="9"/>
      <c r="R183" s="9"/>
      <c r="S183" s="13"/>
      <c r="T183" s="35"/>
      <c r="U183" s="35"/>
      <c r="V183" s="35"/>
      <c r="W183" s="35"/>
      <c r="X183" s="9"/>
      <c r="Y183" s="35"/>
      <c r="Z183" s="9"/>
      <c r="AA183" s="9"/>
    </row>
    <row r="184" spans="1:27" s="61" customFormat="1" x14ac:dyDescent="0.25">
      <c r="A184" s="9"/>
      <c r="B184" s="10"/>
      <c r="C184" s="2"/>
      <c r="D184" s="12"/>
      <c r="E184" s="10"/>
      <c r="F184" s="11"/>
      <c r="G184" s="11"/>
      <c r="H184" s="36"/>
      <c r="I184" s="36"/>
      <c r="J184" s="36"/>
      <c r="K184" s="36"/>
      <c r="L184" s="36"/>
      <c r="M184" s="36"/>
      <c r="N184" s="36"/>
      <c r="O184" s="10"/>
      <c r="P184" s="10"/>
      <c r="Q184" s="9"/>
      <c r="R184" s="9"/>
      <c r="S184" s="13"/>
      <c r="T184" s="35"/>
      <c r="U184" s="35"/>
      <c r="V184" s="35"/>
      <c r="W184" s="35"/>
      <c r="X184" s="9"/>
      <c r="Y184" s="35"/>
      <c r="Z184" s="9"/>
      <c r="AA184" s="9"/>
    </row>
    <row r="185" spans="1:27" s="61" customFormat="1" x14ac:dyDescent="0.25">
      <c r="A185" s="9"/>
      <c r="B185" s="10"/>
      <c r="C185" s="2"/>
      <c r="D185" s="12"/>
      <c r="E185" s="10"/>
      <c r="F185" s="11"/>
      <c r="G185" s="11"/>
      <c r="H185" s="36"/>
      <c r="I185" s="36"/>
      <c r="J185" s="36"/>
      <c r="K185" s="36"/>
      <c r="L185" s="36"/>
      <c r="M185" s="36"/>
      <c r="N185" s="36"/>
      <c r="O185" s="10"/>
      <c r="P185" s="10"/>
      <c r="Q185" s="9"/>
      <c r="R185" s="9"/>
      <c r="S185" s="13"/>
      <c r="T185" s="35"/>
      <c r="U185" s="35"/>
      <c r="V185" s="35"/>
      <c r="W185" s="35"/>
      <c r="X185" s="9"/>
      <c r="Y185" s="35"/>
      <c r="Z185" s="9"/>
      <c r="AA185" s="9"/>
    </row>
    <row r="186" spans="1:27" s="61" customFormat="1" x14ac:dyDescent="0.25">
      <c r="A186" s="9"/>
      <c r="B186" s="10"/>
      <c r="C186" s="2"/>
      <c r="D186" s="12"/>
      <c r="E186" s="10"/>
      <c r="F186" s="11"/>
      <c r="G186" s="11"/>
      <c r="H186" s="36"/>
      <c r="I186" s="36"/>
      <c r="J186" s="36"/>
      <c r="K186" s="36"/>
      <c r="L186" s="36"/>
      <c r="M186" s="36"/>
      <c r="N186" s="36"/>
      <c r="O186" s="10"/>
      <c r="P186" s="10"/>
      <c r="Q186" s="9"/>
      <c r="R186" s="9"/>
      <c r="S186" s="13"/>
      <c r="T186" s="35"/>
      <c r="U186" s="35"/>
      <c r="V186" s="35"/>
      <c r="W186" s="35"/>
      <c r="X186" s="9"/>
      <c r="Y186" s="35"/>
      <c r="Z186" s="9"/>
      <c r="AA186" s="9"/>
    </row>
    <row r="187" spans="1:27" s="61" customFormat="1" x14ac:dyDescent="0.25">
      <c r="A187" s="9"/>
      <c r="B187" s="10"/>
      <c r="C187" s="2"/>
      <c r="D187" s="12"/>
      <c r="E187" s="10"/>
      <c r="F187" s="11"/>
      <c r="G187" s="11"/>
      <c r="H187" s="36"/>
      <c r="I187" s="36"/>
      <c r="J187" s="36"/>
      <c r="K187" s="36"/>
      <c r="L187" s="36"/>
      <c r="M187" s="36"/>
      <c r="N187" s="36"/>
      <c r="O187" s="10"/>
      <c r="P187" s="10"/>
      <c r="Q187" s="9"/>
      <c r="R187" s="9"/>
      <c r="S187" s="13"/>
      <c r="T187" s="35"/>
      <c r="U187" s="35"/>
      <c r="V187" s="35"/>
      <c r="W187" s="35"/>
      <c r="X187" s="9"/>
      <c r="Y187" s="35"/>
      <c r="Z187" s="9"/>
      <c r="AA187" s="9"/>
    </row>
    <row r="188" spans="1:27" s="61" customFormat="1" x14ac:dyDescent="0.25">
      <c r="A188" s="9"/>
      <c r="B188" s="10"/>
      <c r="C188" s="2"/>
      <c r="D188" s="12"/>
      <c r="E188" s="10"/>
      <c r="F188" s="11"/>
      <c r="G188" s="11"/>
      <c r="H188" s="36"/>
      <c r="I188" s="36"/>
      <c r="J188" s="36"/>
      <c r="K188" s="36"/>
      <c r="L188" s="36"/>
      <c r="M188" s="36"/>
      <c r="N188" s="36"/>
      <c r="O188" s="10"/>
      <c r="P188" s="10"/>
      <c r="Q188" s="9"/>
      <c r="R188" s="9"/>
      <c r="S188" s="13"/>
      <c r="T188" s="35"/>
      <c r="U188" s="35"/>
      <c r="V188" s="35"/>
      <c r="W188" s="35"/>
      <c r="X188" s="9"/>
      <c r="Y188" s="35"/>
      <c r="Z188" s="9"/>
      <c r="AA188" s="9"/>
    </row>
    <row r="189" spans="1:27" s="61" customFormat="1" x14ac:dyDescent="0.25">
      <c r="A189" s="9"/>
      <c r="B189" s="10"/>
      <c r="C189" s="2"/>
      <c r="D189" s="12"/>
      <c r="E189" s="10"/>
      <c r="F189" s="11"/>
      <c r="G189" s="11"/>
      <c r="H189" s="36"/>
      <c r="I189" s="36"/>
      <c r="J189" s="36"/>
      <c r="K189" s="36"/>
      <c r="L189" s="36"/>
      <c r="M189" s="36"/>
      <c r="N189" s="36"/>
      <c r="O189" s="10"/>
      <c r="P189" s="10"/>
      <c r="Q189" s="9"/>
      <c r="R189" s="9"/>
      <c r="S189" s="13"/>
      <c r="T189" s="35"/>
      <c r="U189" s="35"/>
      <c r="V189" s="35"/>
      <c r="W189" s="35"/>
      <c r="X189" s="9"/>
      <c r="Y189" s="35"/>
      <c r="Z189" s="9"/>
      <c r="AA189" s="9"/>
    </row>
    <row r="190" spans="1:27" s="61" customFormat="1" x14ac:dyDescent="0.25">
      <c r="A190" s="9"/>
      <c r="B190" s="10"/>
      <c r="C190" s="2"/>
      <c r="D190" s="12"/>
      <c r="E190" s="10"/>
      <c r="F190" s="11"/>
      <c r="G190" s="11"/>
      <c r="H190" s="36"/>
      <c r="I190" s="36"/>
      <c r="J190" s="36"/>
      <c r="K190" s="36"/>
      <c r="L190" s="36"/>
      <c r="M190" s="36"/>
      <c r="N190" s="36"/>
      <c r="O190" s="10"/>
      <c r="P190" s="10"/>
      <c r="Q190" s="9"/>
      <c r="R190" s="9"/>
      <c r="S190" s="13"/>
      <c r="T190" s="35"/>
      <c r="U190" s="35"/>
      <c r="V190" s="35"/>
      <c r="W190" s="35"/>
      <c r="X190" s="9"/>
      <c r="Y190" s="35"/>
      <c r="Z190" s="9"/>
      <c r="AA190" s="9"/>
    </row>
    <row r="191" spans="1:27" s="61" customFormat="1" x14ac:dyDescent="0.25">
      <c r="A191" s="9"/>
      <c r="B191" s="10"/>
      <c r="C191" s="2"/>
      <c r="D191" s="12"/>
      <c r="E191" s="10"/>
      <c r="F191" s="11"/>
      <c r="G191" s="11"/>
      <c r="H191" s="36"/>
      <c r="I191" s="36"/>
      <c r="J191" s="36"/>
      <c r="K191" s="36"/>
      <c r="L191" s="36"/>
      <c r="M191" s="36"/>
      <c r="N191" s="36"/>
      <c r="O191" s="10"/>
      <c r="P191" s="10"/>
      <c r="Q191" s="9"/>
      <c r="R191" s="9"/>
      <c r="S191" s="13"/>
      <c r="T191" s="35"/>
      <c r="U191" s="35"/>
      <c r="V191" s="35"/>
      <c r="W191" s="35"/>
      <c r="X191" s="9"/>
      <c r="Y191" s="35"/>
      <c r="Z191" s="9"/>
      <c r="AA191" s="9"/>
    </row>
    <row r="192" spans="1:27" s="61" customFormat="1" x14ac:dyDescent="0.25">
      <c r="A192" s="9"/>
      <c r="B192" s="10"/>
      <c r="C192" s="2"/>
      <c r="D192" s="12"/>
      <c r="E192" s="10"/>
      <c r="F192" s="11"/>
      <c r="G192" s="11"/>
      <c r="H192" s="36"/>
      <c r="I192" s="36"/>
      <c r="J192" s="36"/>
      <c r="K192" s="36"/>
      <c r="L192" s="36"/>
      <c r="M192" s="36"/>
      <c r="N192" s="36"/>
      <c r="O192" s="10"/>
      <c r="P192" s="10"/>
      <c r="Q192" s="9"/>
      <c r="R192" s="9"/>
      <c r="S192" s="13"/>
      <c r="T192" s="35"/>
      <c r="U192" s="35"/>
      <c r="V192" s="35"/>
      <c r="W192" s="35"/>
      <c r="X192" s="9"/>
      <c r="Y192" s="35"/>
      <c r="Z192" s="9"/>
      <c r="AA192" s="9"/>
    </row>
    <row r="193" spans="1:27" s="61" customFormat="1" x14ac:dyDescent="0.25">
      <c r="A193" s="9"/>
      <c r="B193" s="10"/>
      <c r="C193" s="2"/>
      <c r="D193" s="12"/>
      <c r="E193" s="10"/>
      <c r="F193" s="11"/>
      <c r="G193" s="11"/>
      <c r="H193" s="36"/>
      <c r="I193" s="36"/>
      <c r="J193" s="36"/>
      <c r="K193" s="36"/>
      <c r="L193" s="36"/>
      <c r="M193" s="36"/>
      <c r="N193" s="36"/>
      <c r="O193" s="10"/>
      <c r="P193" s="10"/>
      <c r="Q193" s="9"/>
      <c r="R193" s="9"/>
      <c r="S193" s="13"/>
      <c r="T193" s="35"/>
      <c r="U193" s="35"/>
      <c r="V193" s="35"/>
      <c r="W193" s="35"/>
      <c r="X193" s="9"/>
      <c r="Y193" s="35"/>
      <c r="Z193" s="9"/>
      <c r="AA193" s="9"/>
    </row>
    <row r="194" spans="1:27" s="61" customFormat="1" x14ac:dyDescent="0.25">
      <c r="A194" s="9"/>
      <c r="B194" s="10"/>
      <c r="C194" s="2"/>
      <c r="D194" s="12"/>
      <c r="E194" s="10"/>
      <c r="F194" s="11"/>
      <c r="G194" s="11"/>
      <c r="H194" s="36"/>
      <c r="I194" s="36"/>
      <c r="J194" s="36"/>
      <c r="K194" s="36"/>
      <c r="L194" s="36"/>
      <c r="M194" s="36"/>
      <c r="N194" s="36"/>
      <c r="O194" s="10"/>
      <c r="P194" s="10"/>
      <c r="Q194" s="9"/>
      <c r="R194" s="9"/>
      <c r="S194" s="13"/>
      <c r="T194" s="35"/>
      <c r="U194" s="35"/>
      <c r="V194" s="35"/>
      <c r="W194" s="35"/>
      <c r="X194" s="9"/>
      <c r="Y194" s="35"/>
      <c r="Z194" s="9"/>
      <c r="AA194" s="9"/>
    </row>
    <row r="195" spans="1:27" s="61" customFormat="1" x14ac:dyDescent="0.25">
      <c r="A195" s="9"/>
      <c r="B195" s="10"/>
      <c r="C195" s="2"/>
      <c r="D195" s="12"/>
      <c r="E195" s="10"/>
      <c r="F195" s="11"/>
      <c r="G195" s="11"/>
      <c r="H195" s="36"/>
      <c r="I195" s="36"/>
      <c r="J195" s="36"/>
      <c r="K195" s="36"/>
      <c r="L195" s="36"/>
      <c r="M195" s="36"/>
      <c r="N195" s="36"/>
      <c r="O195" s="10"/>
      <c r="P195" s="10"/>
      <c r="Q195" s="9"/>
      <c r="R195" s="9"/>
      <c r="S195" s="13"/>
      <c r="T195" s="35"/>
      <c r="U195" s="35"/>
      <c r="V195" s="35"/>
      <c r="W195" s="35"/>
      <c r="X195" s="9"/>
      <c r="Y195" s="35"/>
      <c r="Z195" s="9"/>
      <c r="AA195" s="9"/>
    </row>
    <row r="196" spans="1:27" s="61" customFormat="1" x14ac:dyDescent="0.25">
      <c r="A196" s="9"/>
      <c r="B196" s="10"/>
      <c r="C196" s="2"/>
      <c r="D196" s="12"/>
      <c r="E196" s="10"/>
      <c r="F196" s="11"/>
      <c r="G196" s="11"/>
      <c r="H196" s="36"/>
      <c r="I196" s="36"/>
      <c r="J196" s="36"/>
      <c r="K196" s="36"/>
      <c r="L196" s="36"/>
      <c r="M196" s="36"/>
      <c r="N196" s="36"/>
      <c r="O196" s="10"/>
      <c r="P196" s="10"/>
      <c r="Q196" s="9"/>
      <c r="R196" s="9"/>
      <c r="S196" s="13"/>
      <c r="T196" s="35"/>
      <c r="U196" s="35"/>
      <c r="V196" s="35"/>
      <c r="W196" s="35"/>
      <c r="X196" s="9"/>
      <c r="Y196" s="35"/>
      <c r="Z196" s="9"/>
      <c r="AA196" s="9"/>
    </row>
    <row r="197" spans="1:27" s="61" customFormat="1" x14ac:dyDescent="0.25">
      <c r="A197" s="9"/>
      <c r="B197" s="10"/>
      <c r="C197" s="2"/>
      <c r="D197" s="12"/>
      <c r="E197" s="10"/>
      <c r="F197" s="11"/>
      <c r="G197" s="11"/>
      <c r="H197" s="36"/>
      <c r="I197" s="36"/>
      <c r="J197" s="36"/>
      <c r="K197" s="36"/>
      <c r="L197" s="36"/>
      <c r="M197" s="36"/>
      <c r="N197" s="36"/>
      <c r="O197" s="10"/>
      <c r="P197" s="10"/>
      <c r="Q197" s="9"/>
      <c r="R197" s="9"/>
      <c r="S197" s="13"/>
      <c r="T197" s="35"/>
      <c r="U197" s="35"/>
      <c r="V197" s="35"/>
      <c r="W197" s="35"/>
      <c r="X197" s="9"/>
      <c r="Y197" s="35"/>
      <c r="Z197" s="9"/>
      <c r="AA197" s="9"/>
    </row>
    <row r="198" spans="1:27" s="61" customFormat="1" x14ac:dyDescent="0.25">
      <c r="A198" s="9"/>
      <c r="B198" s="10"/>
      <c r="C198" s="2"/>
      <c r="D198" s="12"/>
      <c r="E198" s="10"/>
      <c r="F198" s="11"/>
      <c r="G198" s="11"/>
      <c r="H198" s="36"/>
      <c r="I198" s="36"/>
      <c r="J198" s="36"/>
      <c r="K198" s="36"/>
      <c r="L198" s="36"/>
      <c r="M198" s="36"/>
      <c r="N198" s="36"/>
      <c r="O198" s="10"/>
      <c r="P198" s="10"/>
      <c r="Q198" s="9"/>
      <c r="R198" s="9"/>
      <c r="S198" s="13"/>
      <c r="T198" s="35"/>
      <c r="U198" s="35"/>
      <c r="V198" s="35"/>
      <c r="W198" s="35"/>
      <c r="X198" s="9"/>
      <c r="Y198" s="35"/>
      <c r="Z198" s="9"/>
      <c r="AA198" s="9"/>
    </row>
    <row r="199" spans="1:27" s="61" customFormat="1" x14ac:dyDescent="0.25">
      <c r="A199" s="9"/>
      <c r="B199" s="10"/>
      <c r="C199" s="2"/>
      <c r="D199" s="12"/>
      <c r="E199" s="10"/>
      <c r="F199" s="11"/>
      <c r="G199" s="11"/>
      <c r="H199" s="36"/>
      <c r="I199" s="36"/>
      <c r="J199" s="36"/>
      <c r="K199" s="36"/>
      <c r="L199" s="36"/>
      <c r="M199" s="36"/>
      <c r="N199" s="36"/>
      <c r="O199" s="10"/>
      <c r="P199" s="10"/>
      <c r="Q199" s="9"/>
      <c r="R199" s="9"/>
      <c r="S199" s="13"/>
      <c r="T199" s="35"/>
      <c r="U199" s="35"/>
      <c r="V199" s="35"/>
      <c r="W199" s="35"/>
      <c r="X199" s="9"/>
      <c r="Y199" s="35"/>
      <c r="Z199" s="9"/>
      <c r="AA199" s="9"/>
    </row>
    <row r="200" spans="1:27" s="61" customFormat="1" x14ac:dyDescent="0.25">
      <c r="A200" s="9"/>
      <c r="B200" s="10"/>
      <c r="C200" s="2"/>
      <c r="D200" s="12"/>
      <c r="E200" s="10"/>
      <c r="F200" s="11"/>
      <c r="G200" s="11"/>
      <c r="H200" s="36"/>
      <c r="I200" s="36"/>
      <c r="J200" s="36"/>
      <c r="K200" s="36"/>
      <c r="L200" s="36"/>
      <c r="M200" s="36"/>
      <c r="N200" s="36"/>
      <c r="O200" s="10"/>
      <c r="P200" s="10"/>
      <c r="Q200" s="9"/>
      <c r="R200" s="9"/>
      <c r="S200" s="13"/>
      <c r="T200" s="35"/>
      <c r="U200" s="35"/>
      <c r="V200" s="35"/>
      <c r="W200" s="35"/>
      <c r="X200" s="9"/>
      <c r="Y200" s="35"/>
      <c r="Z200" s="9"/>
      <c r="AA200" s="9"/>
    </row>
    <row r="201" spans="1:27" s="61" customFormat="1" x14ac:dyDescent="0.25">
      <c r="A201" s="9"/>
      <c r="B201" s="10"/>
      <c r="C201" s="2"/>
      <c r="D201" s="12"/>
      <c r="E201" s="10"/>
      <c r="F201" s="11"/>
      <c r="G201" s="11"/>
      <c r="H201" s="36"/>
      <c r="I201" s="36"/>
      <c r="J201" s="36"/>
      <c r="K201" s="36"/>
      <c r="L201" s="36"/>
      <c r="M201" s="36"/>
      <c r="N201" s="36"/>
      <c r="O201" s="10"/>
      <c r="P201" s="10"/>
      <c r="Q201" s="9"/>
      <c r="R201" s="9"/>
      <c r="S201" s="13"/>
      <c r="T201" s="35"/>
      <c r="U201" s="35"/>
      <c r="V201" s="35"/>
      <c r="W201" s="35"/>
      <c r="X201" s="9"/>
      <c r="Y201" s="35"/>
      <c r="Z201" s="9"/>
      <c r="AA201" s="9"/>
    </row>
    <row r="202" spans="1:27" s="61" customFormat="1" x14ac:dyDescent="0.25">
      <c r="A202" s="9"/>
      <c r="B202" s="10"/>
      <c r="C202" s="2"/>
      <c r="D202" s="12"/>
      <c r="E202" s="10"/>
      <c r="F202" s="11"/>
      <c r="G202" s="11"/>
      <c r="H202" s="36"/>
      <c r="I202" s="36"/>
      <c r="J202" s="36"/>
      <c r="K202" s="36"/>
      <c r="L202" s="36"/>
      <c r="M202" s="36"/>
      <c r="N202" s="36"/>
      <c r="O202" s="10"/>
      <c r="P202" s="10"/>
      <c r="Q202" s="9"/>
      <c r="R202" s="9"/>
      <c r="S202" s="13"/>
      <c r="T202" s="35"/>
      <c r="U202" s="35"/>
      <c r="V202" s="35"/>
      <c r="W202" s="35"/>
      <c r="X202" s="9"/>
      <c r="Y202" s="35"/>
      <c r="Z202" s="9"/>
      <c r="AA202" s="9"/>
    </row>
    <row r="203" spans="1:27" s="16" customFormat="1" ht="14.25" customHeight="1" x14ac:dyDescent="0.25">
      <c r="A203" s="9"/>
      <c r="B203" s="10"/>
      <c r="C203" s="2"/>
      <c r="D203" s="12"/>
      <c r="E203" s="10"/>
      <c r="F203" s="11"/>
      <c r="G203" s="11"/>
      <c r="H203" s="36"/>
      <c r="I203" s="36"/>
      <c r="J203" s="36"/>
      <c r="K203" s="36"/>
      <c r="L203" s="36"/>
      <c r="M203" s="36"/>
      <c r="N203" s="36"/>
      <c r="O203" s="10"/>
      <c r="P203" s="10"/>
      <c r="Q203" s="9"/>
      <c r="R203" s="9"/>
      <c r="S203" s="13"/>
      <c r="T203" s="35"/>
      <c r="U203" s="35"/>
      <c r="V203" s="35"/>
      <c r="W203" s="35"/>
      <c r="X203" s="9"/>
      <c r="Y203" s="35"/>
      <c r="Z203" s="9"/>
      <c r="AA203" s="9"/>
    </row>
    <row r="204" spans="1:27" s="61" customFormat="1" ht="15" customHeight="1" x14ac:dyDescent="0.25">
      <c r="A204" s="9"/>
      <c r="B204" s="10"/>
      <c r="C204" s="2"/>
      <c r="D204" s="12"/>
      <c r="E204" s="10"/>
      <c r="F204" s="11"/>
      <c r="G204" s="11"/>
      <c r="H204" s="36"/>
      <c r="I204" s="36"/>
      <c r="J204" s="36"/>
      <c r="K204" s="36"/>
      <c r="L204" s="36"/>
      <c r="M204" s="36"/>
      <c r="N204" s="36"/>
      <c r="O204" s="10"/>
      <c r="P204" s="10"/>
      <c r="Q204" s="9"/>
      <c r="R204" s="9"/>
      <c r="S204" s="13"/>
      <c r="T204" s="35"/>
      <c r="U204" s="35"/>
      <c r="V204" s="35"/>
      <c r="W204" s="35"/>
      <c r="X204" s="9"/>
      <c r="Y204" s="35"/>
      <c r="Z204" s="9"/>
      <c r="AA204" s="9"/>
    </row>
    <row r="205" spans="1:27" s="61" customFormat="1" x14ac:dyDescent="0.25">
      <c r="A205" s="9"/>
      <c r="B205" s="10"/>
      <c r="C205" s="2"/>
      <c r="D205" s="12"/>
      <c r="E205" s="10"/>
      <c r="F205" s="11"/>
      <c r="G205" s="11"/>
      <c r="H205" s="36"/>
      <c r="I205" s="36"/>
      <c r="J205" s="36"/>
      <c r="K205" s="36"/>
      <c r="L205" s="36"/>
      <c r="M205" s="36"/>
      <c r="N205" s="36"/>
      <c r="O205" s="10"/>
      <c r="P205" s="10"/>
      <c r="Q205" s="9"/>
      <c r="R205" s="9"/>
      <c r="S205" s="13"/>
      <c r="T205" s="35"/>
      <c r="U205" s="35"/>
      <c r="V205" s="35"/>
      <c r="W205" s="35"/>
      <c r="X205" s="9"/>
      <c r="Y205" s="35"/>
      <c r="Z205" s="9"/>
      <c r="AA205" s="9"/>
    </row>
    <row r="206" spans="1:27" s="61" customFormat="1" x14ac:dyDescent="0.25">
      <c r="A206" s="9"/>
      <c r="B206" s="10"/>
      <c r="C206" s="2"/>
      <c r="D206" s="12"/>
      <c r="E206" s="10"/>
      <c r="F206" s="11"/>
      <c r="G206" s="11"/>
      <c r="H206" s="36"/>
      <c r="I206" s="36"/>
      <c r="J206" s="36"/>
      <c r="K206" s="36"/>
      <c r="L206" s="36"/>
      <c r="M206" s="36"/>
      <c r="N206" s="36"/>
      <c r="O206" s="10"/>
      <c r="P206" s="10"/>
      <c r="Q206" s="9"/>
      <c r="R206" s="9"/>
      <c r="S206" s="13"/>
      <c r="T206" s="35"/>
      <c r="U206" s="35"/>
      <c r="V206" s="35"/>
      <c r="W206" s="35"/>
      <c r="X206" s="9"/>
      <c r="Y206" s="35"/>
      <c r="Z206" s="9"/>
      <c r="AA206" s="9"/>
    </row>
    <row r="207" spans="1:27" s="61" customFormat="1" x14ac:dyDescent="0.25">
      <c r="A207" s="9"/>
      <c r="B207" s="10"/>
      <c r="C207" s="2"/>
      <c r="D207" s="12"/>
      <c r="E207" s="10"/>
      <c r="F207" s="11"/>
      <c r="G207" s="11"/>
      <c r="H207" s="36"/>
      <c r="I207" s="36"/>
      <c r="J207" s="36"/>
      <c r="K207" s="36"/>
      <c r="L207" s="36"/>
      <c r="M207" s="36"/>
      <c r="N207" s="36"/>
      <c r="O207" s="10"/>
      <c r="P207" s="10"/>
      <c r="Q207" s="9"/>
      <c r="R207" s="9"/>
      <c r="S207" s="13"/>
      <c r="T207" s="35"/>
      <c r="U207" s="35"/>
      <c r="V207" s="35"/>
      <c r="W207" s="35"/>
      <c r="X207" s="9"/>
      <c r="Y207" s="35"/>
      <c r="Z207" s="9"/>
      <c r="AA207" s="9"/>
    </row>
    <row r="208" spans="1:27" s="61" customFormat="1" x14ac:dyDescent="0.25">
      <c r="A208" s="9"/>
      <c r="B208" s="10"/>
      <c r="C208" s="2"/>
      <c r="D208" s="12"/>
      <c r="E208" s="10"/>
      <c r="F208" s="11"/>
      <c r="G208" s="11"/>
      <c r="H208" s="36"/>
      <c r="I208" s="36"/>
      <c r="J208" s="36"/>
      <c r="K208" s="36"/>
      <c r="L208" s="36"/>
      <c r="M208" s="36"/>
      <c r="N208" s="36"/>
      <c r="O208" s="10"/>
      <c r="P208" s="10"/>
      <c r="Q208" s="9"/>
      <c r="R208" s="9"/>
      <c r="S208" s="13"/>
      <c r="T208" s="35"/>
      <c r="U208" s="35"/>
      <c r="V208" s="35"/>
      <c r="W208" s="35"/>
      <c r="X208" s="9"/>
      <c r="Y208" s="35"/>
      <c r="Z208" s="9"/>
      <c r="AA208" s="9"/>
    </row>
    <row r="209" spans="1:27" s="61" customFormat="1" x14ac:dyDescent="0.25">
      <c r="A209" s="9"/>
      <c r="B209" s="10"/>
      <c r="C209" s="2"/>
      <c r="D209" s="12"/>
      <c r="E209" s="10"/>
      <c r="F209" s="11"/>
      <c r="G209" s="11"/>
      <c r="H209" s="36"/>
      <c r="I209" s="36"/>
      <c r="J209" s="36"/>
      <c r="K209" s="36"/>
      <c r="L209" s="36"/>
      <c r="M209" s="36"/>
      <c r="N209" s="36"/>
      <c r="O209" s="10"/>
      <c r="P209" s="10"/>
      <c r="Q209" s="9"/>
      <c r="R209" s="9"/>
      <c r="S209" s="13"/>
      <c r="T209" s="35"/>
      <c r="U209" s="35"/>
      <c r="V209" s="35"/>
      <c r="W209" s="35"/>
      <c r="X209" s="9"/>
      <c r="Y209" s="35"/>
      <c r="Z209" s="9"/>
      <c r="AA209" s="9"/>
    </row>
    <row r="210" spans="1:27" s="61" customFormat="1" x14ac:dyDescent="0.25">
      <c r="A210" s="9"/>
      <c r="B210" s="10"/>
      <c r="C210" s="2"/>
      <c r="D210" s="12"/>
      <c r="E210" s="10"/>
      <c r="F210" s="11"/>
      <c r="G210" s="11"/>
      <c r="H210" s="36"/>
      <c r="I210" s="36"/>
      <c r="J210" s="36"/>
      <c r="K210" s="36"/>
      <c r="L210" s="36"/>
      <c r="M210" s="36"/>
      <c r="N210" s="36"/>
      <c r="O210" s="10"/>
      <c r="P210" s="10"/>
      <c r="Q210" s="9"/>
      <c r="R210" s="9"/>
      <c r="S210" s="13"/>
      <c r="T210" s="35"/>
      <c r="U210" s="35"/>
      <c r="V210" s="35"/>
      <c r="W210" s="35"/>
      <c r="X210" s="9"/>
      <c r="Y210" s="35"/>
      <c r="Z210" s="9"/>
      <c r="AA210" s="9"/>
    </row>
    <row r="211" spans="1:27" s="61" customFormat="1" x14ac:dyDescent="0.25">
      <c r="A211" s="9"/>
      <c r="B211" s="10"/>
      <c r="C211" s="2"/>
      <c r="D211" s="12"/>
      <c r="E211" s="10"/>
      <c r="F211" s="11"/>
      <c r="G211" s="11"/>
      <c r="H211" s="36"/>
      <c r="I211" s="36"/>
      <c r="J211" s="36"/>
      <c r="K211" s="36"/>
      <c r="L211" s="36"/>
      <c r="M211" s="36"/>
      <c r="N211" s="36"/>
      <c r="O211" s="10"/>
      <c r="P211" s="10"/>
      <c r="Q211" s="9"/>
      <c r="R211" s="9"/>
      <c r="S211" s="13"/>
      <c r="T211" s="35"/>
      <c r="U211" s="35"/>
      <c r="V211" s="35"/>
      <c r="W211" s="35"/>
      <c r="X211" s="9"/>
      <c r="Y211" s="35"/>
      <c r="Z211" s="9"/>
      <c r="AA211" s="9"/>
    </row>
    <row r="212" spans="1:27" s="61" customFormat="1" x14ac:dyDescent="0.25">
      <c r="A212" s="9"/>
      <c r="B212" s="10"/>
      <c r="C212" s="2"/>
      <c r="D212" s="12"/>
      <c r="E212" s="10"/>
      <c r="F212" s="11"/>
      <c r="G212" s="11"/>
      <c r="H212" s="36"/>
      <c r="I212" s="36"/>
      <c r="J212" s="36"/>
      <c r="K212" s="36"/>
      <c r="L212" s="36"/>
      <c r="M212" s="36"/>
      <c r="N212" s="36"/>
      <c r="O212" s="10"/>
      <c r="P212" s="10"/>
      <c r="Q212" s="9"/>
      <c r="R212" s="9"/>
      <c r="S212" s="13"/>
      <c r="T212" s="35"/>
      <c r="U212" s="35"/>
      <c r="V212" s="35"/>
      <c r="W212" s="35"/>
      <c r="X212" s="9"/>
      <c r="Y212" s="35"/>
      <c r="Z212" s="9"/>
      <c r="AA212" s="9"/>
    </row>
    <row r="213" spans="1:27" s="61" customFormat="1" x14ac:dyDescent="0.25">
      <c r="A213" s="9"/>
      <c r="B213" s="10"/>
      <c r="C213" s="2"/>
      <c r="D213" s="12"/>
      <c r="E213" s="10"/>
      <c r="F213" s="11"/>
      <c r="G213" s="11"/>
      <c r="H213" s="36"/>
      <c r="I213" s="36"/>
      <c r="J213" s="36"/>
      <c r="K213" s="36"/>
      <c r="L213" s="36"/>
      <c r="M213" s="36"/>
      <c r="N213" s="36"/>
      <c r="O213" s="10"/>
      <c r="P213" s="10"/>
      <c r="Q213" s="9"/>
      <c r="R213" s="9"/>
      <c r="S213" s="13"/>
      <c r="T213" s="35"/>
      <c r="U213" s="35"/>
      <c r="V213" s="35"/>
      <c r="W213" s="35"/>
      <c r="X213" s="9"/>
      <c r="Y213" s="35"/>
      <c r="Z213" s="9"/>
      <c r="AA213" s="9"/>
    </row>
    <row r="214" spans="1:27" s="61" customFormat="1" x14ac:dyDescent="0.25">
      <c r="A214" s="9"/>
      <c r="B214" s="10"/>
      <c r="C214" s="2"/>
      <c r="D214" s="12"/>
      <c r="E214" s="10"/>
      <c r="F214" s="11"/>
      <c r="G214" s="11"/>
      <c r="H214" s="36"/>
      <c r="I214" s="36"/>
      <c r="J214" s="36"/>
      <c r="K214" s="36"/>
      <c r="L214" s="36"/>
      <c r="M214" s="36"/>
      <c r="N214" s="36"/>
      <c r="O214" s="10"/>
      <c r="P214" s="10"/>
      <c r="Q214" s="9"/>
      <c r="R214" s="9"/>
      <c r="S214" s="13"/>
      <c r="T214" s="35"/>
      <c r="U214" s="35"/>
      <c r="V214" s="35"/>
      <c r="W214" s="35"/>
      <c r="X214" s="9"/>
      <c r="Y214" s="35"/>
      <c r="Z214" s="9"/>
      <c r="AA214" s="9"/>
    </row>
    <row r="215" spans="1:27" s="61" customFormat="1" x14ac:dyDescent="0.25">
      <c r="A215" s="9"/>
      <c r="B215" s="10"/>
      <c r="C215" s="2"/>
      <c r="D215" s="12"/>
      <c r="E215" s="10"/>
      <c r="F215" s="11"/>
      <c r="G215" s="11"/>
      <c r="H215" s="36"/>
      <c r="I215" s="36"/>
      <c r="J215" s="36"/>
      <c r="K215" s="36"/>
      <c r="L215" s="36"/>
      <c r="M215" s="36"/>
      <c r="N215" s="36"/>
      <c r="O215" s="10"/>
      <c r="P215" s="10"/>
      <c r="Q215" s="9"/>
      <c r="R215" s="9"/>
      <c r="S215" s="13"/>
      <c r="T215" s="35"/>
      <c r="U215" s="35"/>
      <c r="V215" s="35"/>
      <c r="W215" s="35"/>
      <c r="X215" s="9"/>
      <c r="Y215" s="35"/>
      <c r="Z215" s="9"/>
      <c r="AA215" s="9"/>
    </row>
    <row r="216" spans="1:27" s="61" customFormat="1" x14ac:dyDescent="0.25">
      <c r="A216" s="9"/>
      <c r="B216" s="10"/>
      <c r="C216" s="2"/>
      <c r="D216" s="12"/>
      <c r="E216" s="10"/>
      <c r="F216" s="11"/>
      <c r="G216" s="11"/>
      <c r="H216" s="36"/>
      <c r="I216" s="36"/>
      <c r="J216" s="36"/>
      <c r="K216" s="36"/>
      <c r="L216" s="36"/>
      <c r="M216" s="36"/>
      <c r="N216" s="36"/>
      <c r="O216" s="10"/>
      <c r="P216" s="10"/>
      <c r="Q216" s="9"/>
      <c r="R216" s="9"/>
      <c r="S216" s="13"/>
      <c r="T216" s="35"/>
      <c r="U216" s="35"/>
      <c r="V216" s="35"/>
      <c r="W216" s="35"/>
      <c r="X216" s="9"/>
      <c r="Y216" s="35"/>
      <c r="Z216" s="9"/>
      <c r="AA216" s="9"/>
    </row>
    <row r="217" spans="1:27" s="61" customFormat="1" x14ac:dyDescent="0.25">
      <c r="A217" s="9"/>
      <c r="B217" s="10"/>
      <c r="C217" s="2"/>
      <c r="D217" s="12"/>
      <c r="E217" s="10"/>
      <c r="F217" s="11"/>
      <c r="G217" s="11"/>
      <c r="H217" s="36"/>
      <c r="I217" s="36"/>
      <c r="J217" s="36"/>
      <c r="K217" s="36"/>
      <c r="L217" s="36"/>
      <c r="M217" s="36"/>
      <c r="N217" s="36"/>
      <c r="O217" s="10"/>
      <c r="P217" s="10"/>
      <c r="Q217" s="9"/>
      <c r="R217" s="9"/>
      <c r="S217" s="13"/>
      <c r="T217" s="35"/>
      <c r="U217" s="35"/>
      <c r="V217" s="35"/>
      <c r="W217" s="35"/>
      <c r="X217" s="9"/>
      <c r="Y217" s="35"/>
      <c r="Z217" s="9"/>
      <c r="AA217" s="9"/>
    </row>
    <row r="218" spans="1:27" s="61" customFormat="1" x14ac:dyDescent="0.25">
      <c r="A218" s="9"/>
      <c r="B218" s="10"/>
      <c r="C218" s="2"/>
      <c r="D218" s="12"/>
      <c r="E218" s="10"/>
      <c r="F218" s="11"/>
      <c r="G218" s="11"/>
      <c r="H218" s="36"/>
      <c r="I218" s="36"/>
      <c r="J218" s="36"/>
      <c r="K218" s="36"/>
      <c r="L218" s="36"/>
      <c r="M218" s="36"/>
      <c r="N218" s="36"/>
      <c r="O218" s="10"/>
      <c r="P218" s="10"/>
      <c r="Q218" s="9"/>
      <c r="R218" s="9"/>
      <c r="S218" s="13"/>
      <c r="T218" s="35"/>
      <c r="U218" s="35"/>
      <c r="V218" s="35"/>
      <c r="W218" s="35"/>
      <c r="X218" s="9"/>
      <c r="Y218" s="35"/>
      <c r="Z218" s="9"/>
      <c r="AA218" s="9"/>
    </row>
    <row r="219" spans="1:27" s="61" customFormat="1" x14ac:dyDescent="0.25">
      <c r="A219" s="9"/>
      <c r="B219" s="10"/>
      <c r="C219" s="2"/>
      <c r="D219" s="12"/>
      <c r="E219" s="10"/>
      <c r="F219" s="11"/>
      <c r="G219" s="11"/>
      <c r="H219" s="36"/>
      <c r="I219" s="36"/>
      <c r="J219" s="36"/>
      <c r="K219" s="36"/>
      <c r="L219" s="36"/>
      <c r="M219" s="36"/>
      <c r="N219" s="36"/>
      <c r="O219" s="10"/>
      <c r="P219" s="10"/>
      <c r="Q219" s="9"/>
      <c r="R219" s="9"/>
      <c r="S219" s="13"/>
      <c r="T219" s="35"/>
      <c r="U219" s="35"/>
      <c r="V219" s="35"/>
      <c r="W219" s="35"/>
      <c r="X219" s="9"/>
      <c r="Y219" s="35"/>
      <c r="Z219" s="9"/>
      <c r="AA219" s="9"/>
    </row>
    <row r="220" spans="1:27" s="61" customFormat="1" x14ac:dyDescent="0.25">
      <c r="A220" s="9"/>
      <c r="B220" s="10"/>
      <c r="C220" s="2"/>
      <c r="D220" s="12"/>
      <c r="E220" s="10"/>
      <c r="F220" s="11"/>
      <c r="G220" s="11"/>
      <c r="H220" s="36"/>
      <c r="I220" s="36"/>
      <c r="J220" s="36"/>
      <c r="K220" s="36"/>
      <c r="L220" s="36"/>
      <c r="M220" s="36"/>
      <c r="N220" s="36"/>
      <c r="O220" s="10"/>
      <c r="P220" s="10"/>
      <c r="Q220" s="9"/>
      <c r="R220" s="9"/>
      <c r="S220" s="13"/>
      <c r="T220" s="35"/>
      <c r="U220" s="35"/>
      <c r="V220" s="35"/>
      <c r="W220" s="35"/>
      <c r="X220" s="9"/>
      <c r="Y220" s="35"/>
      <c r="Z220" s="9"/>
      <c r="AA220" s="9"/>
    </row>
    <row r="221" spans="1:27" s="61" customFormat="1" x14ac:dyDescent="0.25">
      <c r="A221" s="9"/>
      <c r="B221" s="10"/>
      <c r="C221" s="2"/>
      <c r="D221" s="12"/>
      <c r="E221" s="10"/>
      <c r="F221" s="11"/>
      <c r="G221" s="11"/>
      <c r="H221" s="36"/>
      <c r="I221" s="36"/>
      <c r="J221" s="36"/>
      <c r="K221" s="36"/>
      <c r="L221" s="36"/>
      <c r="M221" s="36"/>
      <c r="N221" s="36"/>
      <c r="O221" s="10"/>
      <c r="P221" s="10"/>
      <c r="Q221" s="9"/>
      <c r="R221" s="9"/>
      <c r="S221" s="13"/>
      <c r="T221" s="35"/>
      <c r="U221" s="35"/>
      <c r="V221" s="35"/>
      <c r="W221" s="35"/>
      <c r="X221" s="9"/>
      <c r="Y221" s="35"/>
      <c r="Z221" s="9"/>
      <c r="AA221" s="9"/>
    </row>
    <row r="222" spans="1:27" s="61" customFormat="1" x14ac:dyDescent="0.25">
      <c r="A222" s="9"/>
      <c r="B222" s="10"/>
      <c r="C222" s="2"/>
      <c r="D222" s="12"/>
      <c r="E222" s="10"/>
      <c r="F222" s="11"/>
      <c r="G222" s="11"/>
      <c r="H222" s="36"/>
      <c r="I222" s="36"/>
      <c r="J222" s="36"/>
      <c r="K222" s="36"/>
      <c r="L222" s="36"/>
      <c r="M222" s="36"/>
      <c r="N222" s="36"/>
      <c r="O222" s="10"/>
      <c r="P222" s="10"/>
      <c r="Q222" s="9"/>
      <c r="R222" s="9"/>
      <c r="S222" s="13"/>
      <c r="T222" s="35"/>
      <c r="U222" s="35"/>
      <c r="V222" s="35"/>
      <c r="W222" s="35"/>
      <c r="X222" s="9"/>
      <c r="Y222" s="35"/>
      <c r="Z222" s="9"/>
      <c r="AA222" s="9"/>
    </row>
    <row r="223" spans="1:27" s="61" customFormat="1" x14ac:dyDescent="0.25">
      <c r="A223" s="9"/>
      <c r="B223" s="10"/>
      <c r="C223" s="2"/>
      <c r="D223" s="12"/>
      <c r="E223" s="10"/>
      <c r="F223" s="11"/>
      <c r="G223" s="11"/>
      <c r="H223" s="36"/>
      <c r="I223" s="36"/>
      <c r="J223" s="36"/>
      <c r="K223" s="36"/>
      <c r="L223" s="36"/>
      <c r="M223" s="36"/>
      <c r="N223" s="36"/>
      <c r="O223" s="10"/>
      <c r="P223" s="10"/>
      <c r="Q223" s="9"/>
      <c r="R223" s="9"/>
      <c r="S223" s="13"/>
      <c r="T223" s="35"/>
      <c r="U223" s="35"/>
      <c r="V223" s="35"/>
      <c r="W223" s="35"/>
      <c r="X223" s="9"/>
      <c r="Y223" s="35"/>
      <c r="Z223" s="9"/>
      <c r="AA223" s="9"/>
    </row>
    <row r="224" spans="1:27" s="61" customFormat="1" x14ac:dyDescent="0.25">
      <c r="A224" s="9"/>
      <c r="B224" s="10"/>
      <c r="C224" s="2"/>
      <c r="D224" s="12"/>
      <c r="E224" s="10"/>
      <c r="F224" s="11"/>
      <c r="G224" s="11"/>
      <c r="H224" s="36"/>
      <c r="I224" s="36"/>
      <c r="J224" s="36"/>
      <c r="K224" s="36"/>
      <c r="L224" s="36"/>
      <c r="M224" s="36"/>
      <c r="N224" s="36"/>
      <c r="O224" s="10"/>
      <c r="P224" s="10"/>
      <c r="Q224" s="9"/>
      <c r="R224" s="9"/>
      <c r="S224" s="13"/>
      <c r="T224" s="35"/>
      <c r="U224" s="35"/>
      <c r="V224" s="35"/>
      <c r="W224" s="35"/>
      <c r="X224" s="9"/>
      <c r="Y224" s="35"/>
      <c r="Z224" s="9"/>
      <c r="AA224" s="9"/>
    </row>
    <row r="225" spans="1:27" s="61" customFormat="1" x14ac:dyDescent="0.25">
      <c r="A225" s="9"/>
      <c r="B225" s="10"/>
      <c r="C225" s="2"/>
      <c r="D225" s="12"/>
      <c r="E225" s="10"/>
      <c r="F225" s="11"/>
      <c r="G225" s="11"/>
      <c r="H225" s="36"/>
      <c r="I225" s="36"/>
      <c r="J225" s="36"/>
      <c r="K225" s="36"/>
      <c r="L225" s="36"/>
      <c r="M225" s="36"/>
      <c r="N225" s="36"/>
      <c r="O225" s="10"/>
      <c r="P225" s="10"/>
      <c r="Q225" s="9"/>
      <c r="R225" s="9"/>
      <c r="S225" s="13"/>
      <c r="T225" s="35"/>
      <c r="U225" s="35"/>
      <c r="V225" s="35"/>
      <c r="W225" s="35"/>
      <c r="X225" s="9"/>
      <c r="Y225" s="35"/>
      <c r="Z225" s="9"/>
      <c r="AA225" s="9"/>
    </row>
    <row r="226" spans="1:27" s="61" customFormat="1" x14ac:dyDescent="0.25">
      <c r="A226" s="9"/>
      <c r="B226" s="10"/>
      <c r="C226" s="2"/>
      <c r="D226" s="12"/>
      <c r="E226" s="10"/>
      <c r="F226" s="11"/>
      <c r="G226" s="11"/>
      <c r="H226" s="36"/>
      <c r="I226" s="36"/>
      <c r="J226" s="36"/>
      <c r="K226" s="36"/>
      <c r="L226" s="36"/>
      <c r="M226" s="36"/>
      <c r="N226" s="36"/>
      <c r="O226" s="10"/>
      <c r="P226" s="10"/>
      <c r="Q226" s="9"/>
      <c r="R226" s="9"/>
      <c r="S226" s="13"/>
      <c r="T226" s="35"/>
      <c r="U226" s="35"/>
      <c r="V226" s="35"/>
      <c r="W226" s="35"/>
      <c r="X226" s="9"/>
      <c r="Y226" s="35"/>
      <c r="Z226" s="9"/>
      <c r="AA226" s="9"/>
    </row>
    <row r="227" spans="1:27" s="61" customFormat="1" x14ac:dyDescent="0.25">
      <c r="A227" s="9"/>
      <c r="B227" s="10"/>
      <c r="C227" s="2"/>
      <c r="D227" s="12"/>
      <c r="E227" s="10"/>
      <c r="F227" s="11"/>
      <c r="G227" s="11"/>
      <c r="H227" s="36"/>
      <c r="I227" s="36"/>
      <c r="J227" s="36"/>
      <c r="K227" s="36"/>
      <c r="L227" s="36"/>
      <c r="M227" s="36"/>
      <c r="N227" s="36"/>
      <c r="O227" s="10"/>
      <c r="P227" s="10"/>
      <c r="Q227" s="9"/>
      <c r="R227" s="9"/>
      <c r="S227" s="13"/>
      <c r="T227" s="35"/>
      <c r="U227" s="35"/>
      <c r="V227" s="35"/>
      <c r="W227" s="35"/>
      <c r="X227" s="9"/>
      <c r="Y227" s="35"/>
      <c r="Z227" s="9"/>
      <c r="AA227" s="9"/>
    </row>
    <row r="228" spans="1:27" s="61" customFormat="1" x14ac:dyDescent="0.25">
      <c r="A228" s="9"/>
      <c r="B228" s="10"/>
      <c r="C228" s="2"/>
      <c r="D228" s="12"/>
      <c r="E228" s="10"/>
      <c r="F228" s="11"/>
      <c r="G228" s="11"/>
      <c r="H228" s="36"/>
      <c r="I228" s="36"/>
      <c r="J228" s="36"/>
      <c r="K228" s="36"/>
      <c r="L228" s="36"/>
      <c r="M228" s="36"/>
      <c r="N228" s="36"/>
      <c r="O228" s="10"/>
      <c r="P228" s="10"/>
      <c r="Q228" s="9"/>
      <c r="R228" s="9"/>
      <c r="S228" s="13"/>
      <c r="T228" s="35"/>
      <c r="U228" s="35"/>
      <c r="V228" s="35"/>
      <c r="W228" s="35"/>
      <c r="X228" s="9"/>
      <c r="Y228" s="35"/>
      <c r="Z228" s="9"/>
      <c r="AA228" s="9"/>
    </row>
    <row r="229" spans="1:27" s="61" customFormat="1" x14ac:dyDescent="0.25">
      <c r="A229" s="9"/>
      <c r="B229" s="10"/>
      <c r="C229" s="2"/>
      <c r="D229" s="12"/>
      <c r="E229" s="10"/>
      <c r="F229" s="11"/>
      <c r="G229" s="11"/>
      <c r="H229" s="36"/>
      <c r="I229" s="36"/>
      <c r="J229" s="36"/>
      <c r="K229" s="36"/>
      <c r="L229" s="36"/>
      <c r="M229" s="36"/>
      <c r="N229" s="36"/>
      <c r="O229" s="10"/>
      <c r="P229" s="10"/>
      <c r="Q229" s="9"/>
      <c r="R229" s="9"/>
      <c r="S229" s="13"/>
      <c r="T229" s="35"/>
      <c r="U229" s="35"/>
      <c r="V229" s="35"/>
      <c r="W229" s="35"/>
      <c r="X229" s="9"/>
      <c r="Y229" s="35"/>
      <c r="Z229" s="9"/>
      <c r="AA229" s="9"/>
    </row>
    <row r="230" spans="1:27" s="61" customFormat="1" x14ac:dyDescent="0.25">
      <c r="A230" s="9"/>
      <c r="B230" s="10"/>
      <c r="C230" s="2"/>
      <c r="D230" s="12"/>
      <c r="E230" s="10"/>
      <c r="F230" s="11"/>
      <c r="G230" s="11"/>
      <c r="H230" s="36"/>
      <c r="I230" s="36"/>
      <c r="J230" s="36"/>
      <c r="K230" s="36"/>
      <c r="L230" s="36"/>
      <c r="M230" s="36"/>
      <c r="N230" s="36"/>
      <c r="O230" s="10"/>
      <c r="P230" s="10"/>
      <c r="Q230" s="9"/>
      <c r="R230" s="9"/>
      <c r="S230" s="13"/>
      <c r="T230" s="35"/>
      <c r="U230" s="35"/>
      <c r="V230" s="35"/>
      <c r="W230" s="35"/>
      <c r="X230" s="9"/>
      <c r="Y230" s="35"/>
      <c r="Z230" s="9"/>
      <c r="AA230" s="9"/>
    </row>
    <row r="231" spans="1:27" s="61" customFormat="1" x14ac:dyDescent="0.25">
      <c r="A231" s="9"/>
      <c r="B231" s="10"/>
      <c r="C231" s="2"/>
      <c r="D231" s="12"/>
      <c r="E231" s="10"/>
      <c r="F231" s="11"/>
      <c r="G231" s="11"/>
      <c r="H231" s="36"/>
      <c r="I231" s="36"/>
      <c r="J231" s="36"/>
      <c r="K231" s="36"/>
      <c r="L231" s="36"/>
      <c r="M231" s="36"/>
      <c r="N231" s="36"/>
      <c r="O231" s="10"/>
      <c r="P231" s="10"/>
      <c r="Q231" s="9"/>
      <c r="R231" s="9"/>
      <c r="S231" s="13"/>
      <c r="T231" s="35"/>
      <c r="U231" s="35"/>
      <c r="V231" s="35"/>
      <c r="W231" s="35"/>
      <c r="X231" s="9"/>
      <c r="Y231" s="35"/>
      <c r="Z231" s="9"/>
      <c r="AA231" s="9"/>
    </row>
    <row r="232" spans="1:27" s="61" customFormat="1" x14ac:dyDescent="0.25">
      <c r="A232" s="9"/>
      <c r="B232" s="10"/>
      <c r="C232" s="2"/>
      <c r="D232" s="12"/>
      <c r="E232" s="10"/>
      <c r="F232" s="11"/>
      <c r="G232" s="11"/>
      <c r="H232" s="36"/>
      <c r="I232" s="36"/>
      <c r="J232" s="36"/>
      <c r="K232" s="36"/>
      <c r="L232" s="36"/>
      <c r="M232" s="36"/>
      <c r="N232" s="36"/>
      <c r="O232" s="10"/>
      <c r="P232" s="10"/>
      <c r="Q232" s="9"/>
      <c r="R232" s="9"/>
      <c r="S232" s="13"/>
      <c r="T232" s="35"/>
      <c r="U232" s="35"/>
      <c r="V232" s="35"/>
      <c r="W232" s="35"/>
      <c r="X232" s="9"/>
      <c r="Y232" s="35"/>
      <c r="Z232" s="9"/>
      <c r="AA232" s="9"/>
    </row>
    <row r="233" spans="1:27" s="61" customFormat="1" x14ac:dyDescent="0.25">
      <c r="A233" s="9"/>
      <c r="B233" s="10"/>
      <c r="C233" s="2"/>
      <c r="D233" s="12"/>
      <c r="E233" s="10"/>
      <c r="F233" s="11"/>
      <c r="G233" s="11"/>
      <c r="H233" s="36"/>
      <c r="I233" s="36"/>
      <c r="J233" s="36"/>
      <c r="K233" s="36"/>
      <c r="L233" s="36"/>
      <c r="M233" s="36"/>
      <c r="N233" s="36"/>
      <c r="O233" s="10"/>
      <c r="P233" s="10"/>
      <c r="Q233" s="9"/>
      <c r="R233" s="9"/>
      <c r="S233" s="13"/>
      <c r="T233" s="35"/>
      <c r="U233" s="35"/>
      <c r="V233" s="35"/>
      <c r="W233" s="35"/>
      <c r="X233" s="9"/>
      <c r="Y233" s="35"/>
      <c r="Z233" s="9"/>
      <c r="AA233" s="9"/>
    </row>
    <row r="234" spans="1:27" s="61" customFormat="1" x14ac:dyDescent="0.25">
      <c r="A234" s="9"/>
      <c r="B234" s="10"/>
      <c r="C234" s="2"/>
      <c r="D234" s="12"/>
      <c r="E234" s="10"/>
      <c r="F234" s="11"/>
      <c r="G234" s="11"/>
      <c r="H234" s="36"/>
      <c r="I234" s="36"/>
      <c r="J234" s="36"/>
      <c r="K234" s="36"/>
      <c r="L234" s="36"/>
      <c r="M234" s="36"/>
      <c r="N234" s="36"/>
      <c r="O234" s="10"/>
      <c r="P234" s="10"/>
      <c r="Q234" s="9"/>
      <c r="R234" s="9"/>
      <c r="S234" s="13"/>
      <c r="T234" s="35"/>
      <c r="U234" s="35"/>
      <c r="V234" s="35"/>
      <c r="W234" s="35"/>
      <c r="X234" s="9"/>
      <c r="Y234" s="35"/>
      <c r="Z234" s="9"/>
      <c r="AA234" s="9"/>
    </row>
    <row r="235" spans="1:27" s="61" customFormat="1" x14ac:dyDescent="0.25">
      <c r="A235" s="9"/>
      <c r="B235" s="10"/>
      <c r="C235" s="2"/>
      <c r="D235" s="12"/>
      <c r="E235" s="10"/>
      <c r="F235" s="11"/>
      <c r="G235" s="11"/>
      <c r="H235" s="36"/>
      <c r="I235" s="36"/>
      <c r="J235" s="36"/>
      <c r="K235" s="36"/>
      <c r="L235" s="36"/>
      <c r="M235" s="36"/>
      <c r="N235" s="36"/>
      <c r="O235" s="10"/>
      <c r="P235" s="10"/>
      <c r="Q235" s="9"/>
      <c r="R235" s="9"/>
      <c r="S235" s="13"/>
      <c r="T235" s="35"/>
      <c r="U235" s="35"/>
      <c r="V235" s="35"/>
      <c r="W235" s="35"/>
      <c r="X235" s="9"/>
      <c r="Y235" s="35"/>
      <c r="Z235" s="9"/>
      <c r="AA235" s="9"/>
    </row>
    <row r="236" spans="1:27" s="61" customFormat="1" x14ac:dyDescent="0.25">
      <c r="A236" s="9"/>
      <c r="B236" s="10"/>
      <c r="C236" s="2"/>
      <c r="D236" s="12"/>
      <c r="E236" s="10"/>
      <c r="F236" s="11"/>
      <c r="G236" s="11"/>
      <c r="H236" s="36"/>
      <c r="I236" s="36"/>
      <c r="J236" s="36"/>
      <c r="K236" s="36"/>
      <c r="L236" s="36"/>
      <c r="M236" s="36"/>
      <c r="N236" s="36"/>
      <c r="O236" s="10"/>
      <c r="P236" s="10"/>
      <c r="Q236" s="9"/>
      <c r="R236" s="9"/>
      <c r="S236" s="13"/>
      <c r="T236" s="35"/>
      <c r="U236" s="35"/>
      <c r="V236" s="35"/>
      <c r="W236" s="35"/>
      <c r="X236" s="9"/>
      <c r="Y236" s="35"/>
      <c r="Z236" s="9"/>
      <c r="AA236" s="9"/>
    </row>
    <row r="237" spans="1:27" s="61" customFormat="1" x14ac:dyDescent="0.25">
      <c r="A237" s="9"/>
      <c r="B237" s="10"/>
      <c r="C237" s="2"/>
      <c r="D237" s="12"/>
      <c r="E237" s="10"/>
      <c r="F237" s="11"/>
      <c r="G237" s="11"/>
      <c r="H237" s="36"/>
      <c r="I237" s="36"/>
      <c r="J237" s="36"/>
      <c r="K237" s="36"/>
      <c r="L237" s="36"/>
      <c r="M237" s="36"/>
      <c r="N237" s="36"/>
      <c r="O237" s="10"/>
      <c r="P237" s="10"/>
      <c r="Q237" s="9"/>
      <c r="R237" s="9"/>
      <c r="S237" s="13"/>
      <c r="T237" s="35"/>
      <c r="U237" s="35"/>
      <c r="V237" s="35"/>
      <c r="W237" s="35"/>
      <c r="X237" s="9"/>
      <c r="Y237" s="35"/>
      <c r="Z237" s="9"/>
      <c r="AA237" s="9"/>
    </row>
    <row r="238" spans="1:27" s="61" customFormat="1" x14ac:dyDescent="0.25">
      <c r="A238" s="9"/>
      <c r="B238" s="10"/>
      <c r="C238" s="2"/>
      <c r="D238" s="12"/>
      <c r="E238" s="10"/>
      <c r="F238" s="11"/>
      <c r="G238" s="11"/>
      <c r="H238" s="36"/>
      <c r="I238" s="36"/>
      <c r="J238" s="36"/>
      <c r="K238" s="36"/>
      <c r="L238" s="36"/>
      <c r="M238" s="36"/>
      <c r="N238" s="36"/>
      <c r="O238" s="10"/>
      <c r="P238" s="10"/>
      <c r="Q238" s="9"/>
      <c r="R238" s="9"/>
      <c r="S238" s="13"/>
      <c r="T238" s="35"/>
      <c r="U238" s="35"/>
      <c r="V238" s="35"/>
      <c r="W238" s="35"/>
      <c r="X238" s="9"/>
      <c r="Y238" s="35"/>
      <c r="Z238" s="9"/>
      <c r="AA238" s="9"/>
    </row>
    <row r="239" spans="1:27" s="61" customFormat="1" x14ac:dyDescent="0.25">
      <c r="A239" s="9"/>
      <c r="B239" s="10"/>
      <c r="C239" s="2"/>
      <c r="D239" s="12"/>
      <c r="E239" s="10"/>
      <c r="F239" s="11"/>
      <c r="G239" s="11"/>
      <c r="H239" s="36"/>
      <c r="I239" s="36"/>
      <c r="J239" s="36"/>
      <c r="K239" s="36"/>
      <c r="L239" s="36"/>
      <c r="M239" s="36"/>
      <c r="N239" s="36"/>
      <c r="O239" s="10"/>
      <c r="P239" s="10"/>
      <c r="Q239" s="9"/>
      <c r="R239" s="9"/>
      <c r="S239" s="13"/>
      <c r="T239" s="35"/>
      <c r="U239" s="35"/>
      <c r="V239" s="35"/>
      <c r="W239" s="35"/>
      <c r="X239" s="9"/>
      <c r="Y239" s="35"/>
      <c r="Z239" s="9"/>
      <c r="AA239" s="9"/>
    </row>
    <row r="240" spans="1:27" s="61" customFormat="1" x14ac:dyDescent="0.25">
      <c r="A240" s="9"/>
      <c r="B240" s="10"/>
      <c r="C240" s="2"/>
      <c r="D240" s="12"/>
      <c r="E240" s="10"/>
      <c r="F240" s="11"/>
      <c r="G240" s="11"/>
      <c r="H240" s="36"/>
      <c r="I240" s="36"/>
      <c r="J240" s="36"/>
      <c r="K240" s="36"/>
      <c r="L240" s="36"/>
      <c r="M240" s="36"/>
      <c r="N240" s="36"/>
      <c r="O240" s="10"/>
      <c r="P240" s="10"/>
      <c r="Q240" s="9"/>
      <c r="R240" s="9"/>
      <c r="S240" s="13"/>
      <c r="T240" s="35"/>
      <c r="U240" s="35"/>
      <c r="V240" s="35"/>
      <c r="W240" s="35"/>
      <c r="X240" s="9"/>
      <c r="Y240" s="35"/>
      <c r="Z240" s="9"/>
      <c r="AA240" s="9"/>
    </row>
    <row r="241" spans="1:27" s="61" customFormat="1" x14ac:dyDescent="0.25">
      <c r="A241" s="9"/>
      <c r="B241" s="10"/>
      <c r="C241" s="2"/>
      <c r="D241" s="12"/>
      <c r="E241" s="10"/>
      <c r="F241" s="11"/>
      <c r="G241" s="11"/>
      <c r="H241" s="36"/>
      <c r="I241" s="36"/>
      <c r="J241" s="36"/>
      <c r="K241" s="36"/>
      <c r="L241" s="36"/>
      <c r="M241" s="36"/>
      <c r="N241" s="36"/>
      <c r="O241" s="10"/>
      <c r="P241" s="10"/>
      <c r="Q241" s="9"/>
      <c r="R241" s="9"/>
      <c r="S241" s="13"/>
      <c r="T241" s="35"/>
      <c r="U241" s="35"/>
      <c r="V241" s="35"/>
      <c r="W241" s="35"/>
      <c r="X241" s="9"/>
      <c r="Y241" s="35"/>
      <c r="Z241" s="9"/>
      <c r="AA241" s="9"/>
    </row>
    <row r="242" spans="1:27" s="61" customFormat="1" x14ac:dyDescent="0.25">
      <c r="A242" s="9"/>
      <c r="B242" s="10"/>
      <c r="C242" s="2"/>
      <c r="D242" s="12"/>
      <c r="E242" s="10"/>
      <c r="F242" s="11"/>
      <c r="G242" s="11"/>
      <c r="H242" s="36"/>
      <c r="I242" s="36"/>
      <c r="J242" s="36"/>
      <c r="K242" s="36"/>
      <c r="L242" s="36"/>
      <c r="M242" s="36"/>
      <c r="N242" s="36"/>
      <c r="O242" s="10"/>
      <c r="P242" s="10"/>
      <c r="Q242" s="9"/>
      <c r="R242" s="9"/>
      <c r="S242" s="13"/>
      <c r="T242" s="35"/>
      <c r="U242" s="35"/>
      <c r="V242" s="35"/>
      <c r="W242" s="35"/>
      <c r="X242" s="9"/>
      <c r="Y242" s="35"/>
      <c r="Z242" s="9"/>
      <c r="AA242" s="9"/>
    </row>
    <row r="243" spans="1:27" s="61" customFormat="1" x14ac:dyDescent="0.25">
      <c r="A243" s="9"/>
      <c r="B243" s="10"/>
      <c r="C243" s="2"/>
      <c r="D243" s="12"/>
      <c r="E243" s="10"/>
      <c r="F243" s="11"/>
      <c r="G243" s="11"/>
      <c r="H243" s="36"/>
      <c r="I243" s="36"/>
      <c r="J243" s="36"/>
      <c r="K243" s="36"/>
      <c r="L243" s="36"/>
      <c r="M243" s="36"/>
      <c r="N243" s="36"/>
      <c r="O243" s="10"/>
      <c r="P243" s="10"/>
      <c r="Q243" s="9"/>
      <c r="R243" s="9"/>
      <c r="S243" s="13"/>
      <c r="T243" s="35"/>
      <c r="U243" s="35"/>
      <c r="V243" s="35"/>
      <c r="W243" s="35"/>
      <c r="X243" s="9"/>
      <c r="Y243" s="35"/>
      <c r="Z243" s="9"/>
      <c r="AA243" s="9"/>
    </row>
    <row r="244" spans="1:27" s="61" customFormat="1" x14ac:dyDescent="0.25">
      <c r="A244" s="9"/>
      <c r="B244" s="10"/>
      <c r="C244" s="2"/>
      <c r="D244" s="12"/>
      <c r="E244" s="10"/>
      <c r="F244" s="11"/>
      <c r="G244" s="11"/>
      <c r="H244" s="36"/>
      <c r="I244" s="36"/>
      <c r="J244" s="36"/>
      <c r="K244" s="36"/>
      <c r="L244" s="36"/>
      <c r="M244" s="36"/>
      <c r="N244" s="36"/>
      <c r="O244" s="10"/>
      <c r="P244" s="10"/>
      <c r="Q244" s="9"/>
      <c r="R244" s="9"/>
      <c r="S244" s="13"/>
      <c r="T244" s="35"/>
      <c r="U244" s="35"/>
      <c r="V244" s="35"/>
      <c r="W244" s="35"/>
      <c r="X244" s="9"/>
      <c r="Y244" s="35"/>
      <c r="Z244" s="9"/>
      <c r="AA244" s="9"/>
    </row>
    <row r="245" spans="1:27" s="61" customFormat="1" x14ac:dyDescent="0.25">
      <c r="A245" s="9"/>
      <c r="B245" s="10"/>
      <c r="C245" s="2"/>
      <c r="D245" s="12"/>
      <c r="E245" s="10"/>
      <c r="F245" s="11"/>
      <c r="G245" s="11"/>
      <c r="H245" s="36"/>
      <c r="I245" s="36"/>
      <c r="J245" s="36"/>
      <c r="K245" s="36"/>
      <c r="L245" s="36"/>
      <c r="M245" s="36"/>
      <c r="N245" s="36"/>
      <c r="O245" s="10"/>
      <c r="P245" s="10"/>
      <c r="Q245" s="9"/>
      <c r="R245" s="9"/>
      <c r="S245" s="13"/>
      <c r="T245" s="35"/>
      <c r="U245" s="35"/>
      <c r="V245" s="35"/>
      <c r="W245" s="35"/>
      <c r="X245" s="9"/>
      <c r="Y245" s="35"/>
      <c r="Z245" s="9"/>
      <c r="AA245" s="9"/>
    </row>
    <row r="246" spans="1:27" s="110" customFormat="1" x14ac:dyDescent="0.25">
      <c r="A246" s="9"/>
      <c r="B246" s="10"/>
      <c r="C246" s="2"/>
      <c r="D246" s="12"/>
      <c r="E246" s="10"/>
      <c r="F246" s="11"/>
      <c r="G246" s="11"/>
      <c r="H246" s="36"/>
      <c r="I246" s="36"/>
      <c r="J246" s="36"/>
      <c r="K246" s="36"/>
      <c r="L246" s="36"/>
      <c r="M246" s="36"/>
      <c r="N246" s="36"/>
      <c r="O246" s="10"/>
      <c r="P246" s="10"/>
      <c r="Q246" s="9"/>
      <c r="R246" s="9"/>
      <c r="S246" s="13"/>
      <c r="T246" s="35"/>
      <c r="U246" s="35"/>
      <c r="V246" s="35"/>
      <c r="W246" s="35"/>
      <c r="X246" s="9"/>
      <c r="Y246" s="35"/>
      <c r="Z246" s="9"/>
      <c r="AA246" s="9"/>
    </row>
    <row r="247" spans="1:27" s="61" customFormat="1" x14ac:dyDescent="0.25">
      <c r="A247" s="9"/>
      <c r="B247" s="10"/>
      <c r="C247" s="2"/>
      <c r="D247" s="12"/>
      <c r="E247" s="10"/>
      <c r="F247" s="11"/>
      <c r="G247" s="11"/>
      <c r="H247" s="36"/>
      <c r="I247" s="36"/>
      <c r="J247" s="36"/>
      <c r="K247" s="36"/>
      <c r="L247" s="36"/>
      <c r="M247" s="36"/>
      <c r="N247" s="36"/>
      <c r="O247" s="10"/>
      <c r="P247" s="10"/>
      <c r="Q247" s="9"/>
      <c r="R247" s="9"/>
      <c r="S247" s="13"/>
      <c r="T247" s="35"/>
      <c r="U247" s="35"/>
      <c r="V247" s="35"/>
      <c r="W247" s="35"/>
      <c r="X247" s="9"/>
      <c r="Y247" s="35"/>
      <c r="Z247" s="9"/>
      <c r="AA247" s="9"/>
    </row>
    <row r="248" spans="1:27" s="61" customFormat="1" x14ac:dyDescent="0.25">
      <c r="A248" s="9"/>
      <c r="B248" s="10"/>
      <c r="C248" s="2"/>
      <c r="D248" s="12"/>
      <c r="E248" s="10"/>
      <c r="F248" s="11"/>
      <c r="G248" s="11"/>
      <c r="H248" s="36"/>
      <c r="I248" s="36"/>
      <c r="J248" s="36"/>
      <c r="K248" s="36"/>
      <c r="L248" s="36"/>
      <c r="M248" s="36"/>
      <c r="N248" s="36"/>
      <c r="O248" s="10"/>
      <c r="P248" s="10"/>
      <c r="Q248" s="9"/>
      <c r="R248" s="9"/>
      <c r="S248" s="13"/>
      <c r="T248" s="35"/>
      <c r="U248" s="35"/>
      <c r="V248" s="35"/>
      <c r="W248" s="35"/>
      <c r="X248" s="9"/>
      <c r="Y248" s="35"/>
      <c r="Z248" s="9"/>
      <c r="AA248" s="9"/>
    </row>
    <row r="249" spans="1:27" s="61" customFormat="1" x14ac:dyDescent="0.25">
      <c r="A249" s="9"/>
      <c r="B249" s="10"/>
      <c r="C249" s="2"/>
      <c r="D249" s="12"/>
      <c r="E249" s="10"/>
      <c r="F249" s="11"/>
      <c r="G249" s="11"/>
      <c r="H249" s="36"/>
      <c r="I249" s="36"/>
      <c r="J249" s="36"/>
      <c r="K249" s="36"/>
      <c r="L249" s="36"/>
      <c r="M249" s="36"/>
      <c r="N249" s="36"/>
      <c r="O249" s="10"/>
      <c r="P249" s="10"/>
      <c r="Q249" s="9"/>
      <c r="R249" s="9"/>
      <c r="S249" s="13"/>
      <c r="T249" s="35"/>
      <c r="U249" s="35"/>
      <c r="V249" s="35"/>
      <c r="W249" s="35"/>
      <c r="X249" s="9"/>
      <c r="Y249" s="35"/>
      <c r="Z249" s="9"/>
      <c r="AA249" s="9"/>
    </row>
    <row r="250" spans="1:27" s="61" customFormat="1" x14ac:dyDescent="0.25">
      <c r="A250" s="9"/>
      <c r="B250" s="10"/>
      <c r="C250" s="2"/>
      <c r="D250" s="12"/>
      <c r="E250" s="10"/>
      <c r="F250" s="11"/>
      <c r="G250" s="11"/>
      <c r="H250" s="36"/>
      <c r="I250" s="36"/>
      <c r="J250" s="36"/>
      <c r="K250" s="36"/>
      <c r="L250" s="36"/>
      <c r="M250" s="36"/>
      <c r="N250" s="36"/>
      <c r="O250" s="10"/>
      <c r="P250" s="10"/>
      <c r="Q250" s="9"/>
      <c r="R250" s="9"/>
      <c r="S250" s="13"/>
      <c r="T250" s="35"/>
      <c r="U250" s="35"/>
      <c r="V250" s="35"/>
      <c r="W250" s="35"/>
      <c r="X250" s="9"/>
      <c r="Y250" s="35"/>
      <c r="Z250" s="9"/>
      <c r="AA250" s="9"/>
    </row>
    <row r="251" spans="1:27" s="61" customFormat="1" x14ac:dyDescent="0.25">
      <c r="A251" s="9"/>
      <c r="B251" s="10"/>
      <c r="C251" s="2"/>
      <c r="D251" s="12"/>
      <c r="E251" s="10"/>
      <c r="F251" s="11"/>
      <c r="G251" s="11"/>
      <c r="H251" s="36"/>
      <c r="I251" s="36"/>
      <c r="J251" s="36"/>
      <c r="K251" s="36"/>
      <c r="L251" s="36"/>
      <c r="M251" s="36"/>
      <c r="N251" s="36"/>
      <c r="O251" s="10"/>
      <c r="P251" s="10"/>
      <c r="Q251" s="9"/>
      <c r="R251" s="9"/>
      <c r="S251" s="13"/>
      <c r="T251" s="35"/>
      <c r="U251" s="35"/>
      <c r="V251" s="35"/>
      <c r="W251" s="35"/>
      <c r="X251" s="9"/>
      <c r="Y251" s="35"/>
      <c r="Z251" s="9"/>
      <c r="AA251" s="9"/>
    </row>
    <row r="252" spans="1:27" s="61" customFormat="1" x14ac:dyDescent="0.25">
      <c r="A252" s="9"/>
      <c r="B252" s="10"/>
      <c r="C252" s="2"/>
      <c r="D252" s="12"/>
      <c r="E252" s="10"/>
      <c r="F252" s="11"/>
      <c r="G252" s="11"/>
      <c r="H252" s="36"/>
      <c r="I252" s="36"/>
      <c r="J252" s="36"/>
      <c r="K252" s="36"/>
      <c r="L252" s="36"/>
      <c r="M252" s="36"/>
      <c r="N252" s="36"/>
      <c r="O252" s="10"/>
      <c r="P252" s="10"/>
      <c r="Q252" s="9"/>
      <c r="R252" s="9"/>
      <c r="S252" s="13"/>
      <c r="T252" s="35"/>
      <c r="U252" s="35"/>
      <c r="V252" s="35"/>
      <c r="W252" s="35"/>
      <c r="X252" s="9"/>
      <c r="Y252" s="35"/>
      <c r="Z252" s="9"/>
      <c r="AA252" s="9"/>
    </row>
    <row r="253" spans="1:27" s="61" customFormat="1" x14ac:dyDescent="0.25">
      <c r="A253" s="9"/>
      <c r="B253" s="10"/>
      <c r="C253" s="2"/>
      <c r="D253" s="12"/>
      <c r="E253" s="10"/>
      <c r="F253" s="11"/>
      <c r="G253" s="11"/>
      <c r="H253" s="36"/>
      <c r="I253" s="36"/>
      <c r="J253" s="36"/>
      <c r="K253" s="36"/>
      <c r="L253" s="36"/>
      <c r="M253" s="36"/>
      <c r="N253" s="36"/>
      <c r="O253" s="10"/>
      <c r="P253" s="10"/>
      <c r="Q253" s="9"/>
      <c r="R253" s="9"/>
      <c r="S253" s="13"/>
      <c r="T253" s="35"/>
      <c r="U253" s="35"/>
      <c r="V253" s="35"/>
      <c r="W253" s="35"/>
      <c r="X253" s="9"/>
      <c r="Y253" s="35"/>
      <c r="Z253" s="9"/>
      <c r="AA253" s="9"/>
    </row>
    <row r="254" spans="1:27" s="61" customFormat="1" x14ac:dyDescent="0.25">
      <c r="A254" s="9"/>
      <c r="B254" s="10"/>
      <c r="C254" s="2"/>
      <c r="D254" s="12"/>
      <c r="E254" s="10"/>
      <c r="F254" s="11"/>
      <c r="G254" s="11"/>
      <c r="H254" s="36"/>
      <c r="I254" s="36"/>
      <c r="J254" s="36"/>
      <c r="K254" s="36"/>
      <c r="L254" s="36"/>
      <c r="M254" s="36"/>
      <c r="N254" s="36"/>
      <c r="O254" s="10"/>
      <c r="P254" s="10"/>
      <c r="Q254" s="9"/>
      <c r="R254" s="9"/>
      <c r="S254" s="13"/>
      <c r="T254" s="35"/>
      <c r="U254" s="35"/>
      <c r="V254" s="35"/>
      <c r="W254" s="35"/>
      <c r="X254" s="9"/>
      <c r="Y254" s="35"/>
      <c r="Z254" s="9"/>
      <c r="AA254" s="9"/>
    </row>
    <row r="255" spans="1:27" s="61" customFormat="1" x14ac:dyDescent="0.25">
      <c r="A255" s="9"/>
      <c r="B255" s="10"/>
      <c r="C255" s="2"/>
      <c r="D255" s="12"/>
      <c r="E255" s="10"/>
      <c r="F255" s="11"/>
      <c r="G255" s="11"/>
      <c r="H255" s="36"/>
      <c r="I255" s="36"/>
      <c r="J255" s="36"/>
      <c r="K255" s="36"/>
      <c r="L255" s="36"/>
      <c r="M255" s="36"/>
      <c r="N255" s="36"/>
      <c r="O255" s="10"/>
      <c r="P255" s="10"/>
      <c r="Q255" s="9"/>
      <c r="R255" s="9"/>
      <c r="S255" s="13"/>
      <c r="T255" s="35"/>
      <c r="U255" s="35"/>
      <c r="V255" s="35"/>
      <c r="W255" s="35"/>
      <c r="X255" s="9"/>
      <c r="Y255" s="35"/>
      <c r="Z255" s="9"/>
      <c r="AA255" s="9"/>
    </row>
    <row r="256" spans="1:27" s="61" customFormat="1" x14ac:dyDescent="0.25">
      <c r="A256" s="9"/>
      <c r="B256" s="10"/>
      <c r="C256" s="2"/>
      <c r="D256" s="12"/>
      <c r="E256" s="10"/>
      <c r="F256" s="11"/>
      <c r="G256" s="11"/>
      <c r="H256" s="36"/>
      <c r="I256" s="36"/>
      <c r="J256" s="36"/>
      <c r="K256" s="36"/>
      <c r="L256" s="36"/>
      <c r="M256" s="36"/>
      <c r="N256" s="36"/>
      <c r="O256" s="10"/>
      <c r="P256" s="10"/>
      <c r="Q256" s="9"/>
      <c r="R256" s="9"/>
      <c r="S256" s="13"/>
      <c r="T256" s="35"/>
      <c r="U256" s="35"/>
      <c r="V256" s="35"/>
      <c r="W256" s="35"/>
      <c r="X256" s="9"/>
      <c r="Y256" s="35"/>
      <c r="Z256" s="9"/>
      <c r="AA256" s="9"/>
    </row>
    <row r="257" spans="1:27" s="61" customFormat="1" x14ac:dyDescent="0.25">
      <c r="A257" s="9"/>
      <c r="B257" s="10"/>
      <c r="C257" s="2"/>
      <c r="D257" s="12"/>
      <c r="E257" s="10"/>
      <c r="F257" s="11"/>
      <c r="G257" s="11"/>
      <c r="H257" s="36"/>
      <c r="I257" s="36"/>
      <c r="J257" s="36"/>
      <c r="K257" s="36"/>
      <c r="L257" s="36"/>
      <c r="M257" s="36"/>
      <c r="N257" s="36"/>
      <c r="O257" s="10"/>
      <c r="P257" s="10"/>
      <c r="Q257" s="9"/>
      <c r="R257" s="9"/>
      <c r="S257" s="13"/>
      <c r="T257" s="35"/>
      <c r="U257" s="35"/>
      <c r="V257" s="35"/>
      <c r="W257" s="35"/>
      <c r="X257" s="9"/>
      <c r="Y257" s="35"/>
      <c r="Z257" s="9"/>
      <c r="AA257" s="9"/>
    </row>
    <row r="258" spans="1:27" s="61" customFormat="1" x14ac:dyDescent="0.25">
      <c r="A258" s="9"/>
      <c r="B258" s="10"/>
      <c r="C258" s="2"/>
      <c r="D258" s="12"/>
      <c r="E258" s="10"/>
      <c r="F258" s="11"/>
      <c r="G258" s="11"/>
      <c r="H258" s="36"/>
      <c r="I258" s="36"/>
      <c r="J258" s="36"/>
      <c r="K258" s="36"/>
      <c r="L258" s="36"/>
      <c r="M258" s="36"/>
      <c r="N258" s="36"/>
      <c r="O258" s="10"/>
      <c r="P258" s="10"/>
      <c r="Q258" s="9"/>
      <c r="R258" s="9"/>
      <c r="S258" s="13"/>
      <c r="T258" s="35"/>
      <c r="U258" s="35"/>
      <c r="V258" s="35"/>
      <c r="W258" s="35"/>
      <c r="X258" s="9"/>
      <c r="Y258" s="35"/>
      <c r="Z258" s="9"/>
      <c r="AA258" s="9"/>
    </row>
    <row r="259" spans="1:27" s="61" customFormat="1" x14ac:dyDescent="0.25">
      <c r="A259" s="9"/>
      <c r="B259" s="10"/>
      <c r="C259" s="2"/>
      <c r="D259" s="12"/>
      <c r="E259" s="10"/>
      <c r="F259" s="11"/>
      <c r="G259" s="11"/>
      <c r="H259" s="36"/>
      <c r="I259" s="36"/>
      <c r="J259" s="36"/>
      <c r="K259" s="36"/>
      <c r="L259" s="36"/>
      <c r="M259" s="36"/>
      <c r="N259" s="36"/>
      <c r="O259" s="10"/>
      <c r="P259" s="10"/>
      <c r="Q259" s="9"/>
      <c r="R259" s="9"/>
      <c r="S259" s="13"/>
      <c r="T259" s="35"/>
      <c r="U259" s="35"/>
      <c r="V259" s="35"/>
      <c r="W259" s="35"/>
      <c r="X259" s="9"/>
      <c r="Y259" s="35"/>
      <c r="Z259" s="9"/>
      <c r="AA259" s="9"/>
    </row>
    <row r="260" spans="1:27" s="61" customFormat="1" x14ac:dyDescent="0.25">
      <c r="A260" s="9"/>
      <c r="B260" s="10"/>
      <c r="C260" s="2"/>
      <c r="D260" s="12"/>
      <c r="E260" s="10"/>
      <c r="F260" s="11"/>
      <c r="G260" s="11"/>
      <c r="H260" s="36"/>
      <c r="I260" s="36"/>
      <c r="J260" s="36"/>
      <c r="K260" s="36"/>
      <c r="L260" s="36"/>
      <c r="M260" s="36"/>
      <c r="N260" s="36"/>
      <c r="O260" s="10"/>
      <c r="P260" s="10"/>
      <c r="Q260" s="9"/>
      <c r="R260" s="9"/>
      <c r="S260" s="13"/>
      <c r="T260" s="35"/>
      <c r="U260" s="35"/>
      <c r="V260" s="35"/>
      <c r="W260" s="35"/>
      <c r="X260" s="9"/>
      <c r="Y260" s="35"/>
      <c r="Z260" s="9"/>
      <c r="AA260" s="9"/>
    </row>
    <row r="261" spans="1:27" s="61" customFormat="1" x14ac:dyDescent="0.25">
      <c r="A261" s="9"/>
      <c r="B261" s="10"/>
      <c r="C261" s="2"/>
      <c r="D261" s="12"/>
      <c r="E261" s="10"/>
      <c r="F261" s="11"/>
      <c r="G261" s="11"/>
      <c r="H261" s="36"/>
      <c r="I261" s="36"/>
      <c r="J261" s="36"/>
      <c r="K261" s="36"/>
      <c r="L261" s="36"/>
      <c r="M261" s="36"/>
      <c r="N261" s="36"/>
      <c r="O261" s="10"/>
      <c r="P261" s="10"/>
      <c r="Q261" s="9"/>
      <c r="R261" s="9"/>
      <c r="S261" s="13"/>
      <c r="T261" s="35"/>
      <c r="U261" s="35"/>
      <c r="V261" s="35"/>
      <c r="W261" s="35"/>
      <c r="X261" s="9"/>
      <c r="Y261" s="35"/>
      <c r="Z261" s="9"/>
      <c r="AA261" s="9"/>
    </row>
    <row r="262" spans="1:27" s="61" customFormat="1" x14ac:dyDescent="0.25">
      <c r="A262" s="9"/>
      <c r="B262" s="10"/>
      <c r="C262" s="2"/>
      <c r="D262" s="12"/>
      <c r="E262" s="10"/>
      <c r="F262" s="11"/>
      <c r="G262" s="11"/>
      <c r="H262" s="36"/>
      <c r="I262" s="36"/>
      <c r="J262" s="36"/>
      <c r="K262" s="36"/>
      <c r="L262" s="36"/>
      <c r="M262" s="36"/>
      <c r="N262" s="36"/>
      <c r="O262" s="10"/>
      <c r="P262" s="10"/>
      <c r="Q262" s="9"/>
      <c r="R262" s="9"/>
      <c r="S262" s="13"/>
      <c r="T262" s="35"/>
      <c r="U262" s="35"/>
      <c r="V262" s="35"/>
      <c r="W262" s="35"/>
      <c r="X262" s="9"/>
      <c r="Y262" s="35"/>
      <c r="Z262" s="9"/>
      <c r="AA262" s="9"/>
    </row>
    <row r="263" spans="1:27" s="61" customFormat="1" x14ac:dyDescent="0.25">
      <c r="A263" s="9"/>
      <c r="B263" s="10"/>
      <c r="C263" s="2"/>
      <c r="D263" s="12"/>
      <c r="E263" s="10"/>
      <c r="F263" s="11"/>
      <c r="G263" s="11"/>
      <c r="H263" s="36"/>
      <c r="I263" s="36"/>
      <c r="J263" s="36"/>
      <c r="K263" s="36"/>
      <c r="L263" s="36"/>
      <c r="M263" s="36"/>
      <c r="N263" s="36"/>
      <c r="O263" s="10"/>
      <c r="P263" s="10"/>
      <c r="Q263" s="9"/>
      <c r="R263" s="9"/>
      <c r="S263" s="13"/>
      <c r="T263" s="35"/>
      <c r="U263" s="35"/>
      <c r="V263" s="35"/>
      <c r="W263" s="35"/>
      <c r="X263" s="9"/>
      <c r="Y263" s="35"/>
      <c r="Z263" s="9"/>
      <c r="AA263" s="9"/>
    </row>
    <row r="264" spans="1:27" s="61" customFormat="1" x14ac:dyDescent="0.25">
      <c r="A264" s="9"/>
      <c r="B264" s="10"/>
      <c r="C264" s="2"/>
      <c r="D264" s="12"/>
      <c r="E264" s="10"/>
      <c r="F264" s="11"/>
      <c r="G264" s="11"/>
      <c r="H264" s="36"/>
      <c r="I264" s="36"/>
      <c r="J264" s="36"/>
      <c r="K264" s="36"/>
      <c r="L264" s="36"/>
      <c r="M264" s="36"/>
      <c r="N264" s="36"/>
      <c r="O264" s="10"/>
      <c r="P264" s="10"/>
      <c r="Q264" s="9"/>
      <c r="R264" s="9"/>
      <c r="S264" s="13"/>
      <c r="T264" s="35"/>
      <c r="U264" s="35"/>
      <c r="V264" s="35"/>
      <c r="W264" s="35"/>
      <c r="X264" s="9"/>
      <c r="Y264" s="35"/>
      <c r="Z264" s="9"/>
      <c r="AA264" s="9"/>
    </row>
    <row r="265" spans="1:27" s="61" customFormat="1" x14ac:dyDescent="0.25">
      <c r="A265" s="9"/>
      <c r="B265" s="10"/>
      <c r="C265" s="2"/>
      <c r="D265" s="12"/>
      <c r="E265" s="10"/>
      <c r="F265" s="11"/>
      <c r="G265" s="11"/>
      <c r="H265" s="36"/>
      <c r="I265" s="36"/>
      <c r="J265" s="36"/>
      <c r="K265" s="36"/>
      <c r="L265" s="36"/>
      <c r="M265" s="36"/>
      <c r="N265" s="36"/>
      <c r="O265" s="10"/>
      <c r="P265" s="10"/>
      <c r="Q265" s="9"/>
      <c r="R265" s="9"/>
      <c r="S265" s="13"/>
      <c r="T265" s="35"/>
      <c r="U265" s="35"/>
      <c r="V265" s="35"/>
      <c r="W265" s="35"/>
      <c r="X265" s="9"/>
      <c r="Y265" s="35"/>
      <c r="Z265" s="9"/>
      <c r="AA265" s="9"/>
    </row>
    <row r="266" spans="1:27" s="61" customFormat="1" x14ac:dyDescent="0.25">
      <c r="A266" s="9"/>
      <c r="B266" s="10"/>
      <c r="C266" s="2"/>
      <c r="D266" s="12"/>
      <c r="E266" s="10"/>
      <c r="F266" s="11"/>
      <c r="G266" s="11"/>
      <c r="H266" s="36"/>
      <c r="I266" s="36"/>
      <c r="J266" s="36"/>
      <c r="K266" s="36"/>
      <c r="L266" s="36"/>
      <c r="M266" s="36"/>
      <c r="N266" s="36"/>
      <c r="O266" s="10"/>
      <c r="P266" s="10"/>
      <c r="Q266" s="9"/>
      <c r="R266" s="9"/>
      <c r="S266" s="13"/>
      <c r="T266" s="35"/>
      <c r="U266" s="35"/>
      <c r="V266" s="35"/>
      <c r="W266" s="35"/>
      <c r="X266" s="9"/>
      <c r="Y266" s="35"/>
      <c r="Z266" s="9"/>
      <c r="AA266" s="9"/>
    </row>
    <row r="267" spans="1:27" s="61" customFormat="1" x14ac:dyDescent="0.25">
      <c r="A267" s="9"/>
      <c r="B267" s="10"/>
      <c r="C267" s="2"/>
      <c r="D267" s="12"/>
      <c r="E267" s="10"/>
      <c r="F267" s="11"/>
      <c r="G267" s="11"/>
      <c r="H267" s="36"/>
      <c r="I267" s="36"/>
      <c r="J267" s="36"/>
      <c r="K267" s="36"/>
      <c r="L267" s="36"/>
      <c r="M267" s="36"/>
      <c r="N267" s="36"/>
      <c r="O267" s="10"/>
      <c r="P267" s="10"/>
      <c r="Q267" s="9"/>
      <c r="R267" s="9"/>
      <c r="S267" s="13"/>
      <c r="T267" s="35"/>
      <c r="U267" s="35"/>
      <c r="V267" s="35"/>
      <c r="W267" s="35"/>
      <c r="X267" s="9"/>
      <c r="Y267" s="35"/>
      <c r="Z267" s="9"/>
      <c r="AA267" s="9"/>
    </row>
    <row r="268" spans="1:27" s="61" customFormat="1" x14ac:dyDescent="0.25">
      <c r="A268" s="9"/>
      <c r="B268" s="10"/>
      <c r="C268" s="2"/>
      <c r="D268" s="12"/>
      <c r="E268" s="10"/>
      <c r="F268" s="11"/>
      <c r="G268" s="11"/>
      <c r="H268" s="36"/>
      <c r="I268" s="36"/>
      <c r="J268" s="36"/>
      <c r="K268" s="36"/>
      <c r="L268" s="36"/>
      <c r="M268" s="36"/>
      <c r="N268" s="36"/>
      <c r="O268" s="10"/>
      <c r="P268" s="10"/>
      <c r="Q268" s="9"/>
      <c r="R268" s="9"/>
      <c r="S268" s="13"/>
      <c r="T268" s="35"/>
      <c r="U268" s="35"/>
      <c r="V268" s="35"/>
      <c r="W268" s="35"/>
      <c r="X268" s="9"/>
      <c r="Y268" s="35"/>
      <c r="Z268" s="9"/>
      <c r="AA268" s="9"/>
    </row>
    <row r="269" spans="1:27" s="61" customFormat="1" x14ac:dyDescent="0.25">
      <c r="A269" s="9"/>
      <c r="B269" s="10"/>
      <c r="C269" s="2"/>
      <c r="D269" s="12"/>
      <c r="E269" s="10"/>
      <c r="F269" s="11"/>
      <c r="G269" s="11"/>
      <c r="H269" s="36"/>
      <c r="I269" s="36"/>
      <c r="J269" s="36"/>
      <c r="K269" s="36"/>
      <c r="L269" s="36"/>
      <c r="M269" s="36"/>
      <c r="N269" s="36"/>
      <c r="O269" s="10"/>
      <c r="P269" s="10"/>
      <c r="Q269" s="9"/>
      <c r="R269" s="9"/>
      <c r="S269" s="13"/>
      <c r="T269" s="35"/>
      <c r="U269" s="35"/>
      <c r="V269" s="35"/>
      <c r="W269" s="35"/>
      <c r="X269" s="9"/>
      <c r="Y269" s="35"/>
      <c r="Z269" s="9"/>
      <c r="AA269" s="9"/>
    </row>
    <row r="270" spans="1:27" s="61" customFormat="1" x14ac:dyDescent="0.25">
      <c r="A270" s="9"/>
      <c r="B270" s="10"/>
      <c r="C270" s="2"/>
      <c r="D270" s="12"/>
      <c r="E270" s="10"/>
      <c r="F270" s="11"/>
      <c r="G270" s="11"/>
      <c r="H270" s="36"/>
      <c r="I270" s="36"/>
      <c r="J270" s="36"/>
      <c r="K270" s="36"/>
      <c r="L270" s="36"/>
      <c r="M270" s="36"/>
      <c r="N270" s="36"/>
      <c r="O270" s="10"/>
      <c r="P270" s="10"/>
      <c r="Q270" s="9"/>
      <c r="R270" s="9"/>
      <c r="S270" s="13"/>
      <c r="T270" s="35"/>
      <c r="U270" s="35"/>
      <c r="V270" s="35"/>
      <c r="W270" s="35"/>
      <c r="X270" s="9"/>
      <c r="Y270" s="35"/>
      <c r="Z270" s="9"/>
      <c r="AA270" s="9"/>
    </row>
    <row r="271" spans="1:27" s="61" customFormat="1" x14ac:dyDescent="0.25">
      <c r="A271" s="9"/>
      <c r="B271" s="10"/>
      <c r="C271" s="2"/>
      <c r="D271" s="12"/>
      <c r="E271" s="10"/>
      <c r="F271" s="11"/>
      <c r="G271" s="11"/>
      <c r="H271" s="36"/>
      <c r="I271" s="36"/>
      <c r="J271" s="36"/>
      <c r="K271" s="36"/>
      <c r="L271" s="36"/>
      <c r="M271" s="36"/>
      <c r="N271" s="36"/>
      <c r="O271" s="10"/>
      <c r="P271" s="10"/>
      <c r="Q271" s="9"/>
      <c r="R271" s="9"/>
      <c r="S271" s="13"/>
      <c r="T271" s="35"/>
      <c r="U271" s="35"/>
      <c r="V271" s="35"/>
      <c r="W271" s="35"/>
      <c r="X271" s="9"/>
      <c r="Y271" s="35"/>
      <c r="Z271" s="9"/>
      <c r="AA271" s="9"/>
    </row>
    <row r="272" spans="1:27" s="61" customFormat="1" x14ac:dyDescent="0.25">
      <c r="A272" s="9"/>
      <c r="B272" s="10"/>
      <c r="C272" s="2"/>
      <c r="D272" s="12"/>
      <c r="E272" s="10"/>
      <c r="F272" s="11"/>
      <c r="G272" s="11"/>
      <c r="H272" s="36"/>
      <c r="I272" s="36"/>
      <c r="J272" s="36"/>
      <c r="K272" s="36"/>
      <c r="L272" s="36"/>
      <c r="M272" s="36"/>
      <c r="N272" s="36"/>
      <c r="O272" s="10"/>
      <c r="P272" s="10"/>
      <c r="Q272" s="9"/>
      <c r="R272" s="9"/>
      <c r="S272" s="13"/>
      <c r="T272" s="35"/>
      <c r="U272" s="35"/>
      <c r="V272" s="35"/>
      <c r="W272" s="35"/>
      <c r="X272" s="9"/>
      <c r="Y272" s="35"/>
      <c r="Z272" s="9"/>
      <c r="AA272" s="9"/>
    </row>
    <row r="273" spans="1:27" s="61" customFormat="1" x14ac:dyDescent="0.25">
      <c r="A273" s="9"/>
      <c r="B273" s="10"/>
      <c r="C273" s="2"/>
      <c r="D273" s="12"/>
      <c r="E273" s="10"/>
      <c r="F273" s="11"/>
      <c r="G273" s="11"/>
      <c r="H273" s="36"/>
      <c r="I273" s="36"/>
      <c r="J273" s="36"/>
      <c r="K273" s="36"/>
      <c r="L273" s="36"/>
      <c r="M273" s="36"/>
      <c r="N273" s="36"/>
      <c r="O273" s="10"/>
      <c r="P273" s="10"/>
      <c r="Q273" s="9"/>
      <c r="R273" s="9"/>
      <c r="S273" s="13"/>
      <c r="T273" s="35"/>
      <c r="U273" s="35"/>
      <c r="V273" s="35"/>
      <c r="W273" s="35"/>
      <c r="X273" s="9"/>
      <c r="Y273" s="35"/>
      <c r="Z273" s="9"/>
      <c r="AA273" s="9"/>
    </row>
    <row r="274" spans="1:27" s="61" customFormat="1" x14ac:dyDescent="0.25">
      <c r="A274" s="9"/>
      <c r="B274" s="10"/>
      <c r="C274" s="2"/>
      <c r="D274" s="12"/>
      <c r="E274" s="10"/>
      <c r="F274" s="11"/>
      <c r="G274" s="11"/>
      <c r="H274" s="36"/>
      <c r="I274" s="36"/>
      <c r="J274" s="36"/>
      <c r="K274" s="36"/>
      <c r="L274" s="36"/>
      <c r="M274" s="36"/>
      <c r="N274" s="36"/>
      <c r="O274" s="10"/>
      <c r="P274" s="10"/>
      <c r="Q274" s="9"/>
      <c r="R274" s="9"/>
      <c r="S274" s="13"/>
      <c r="T274" s="35"/>
      <c r="U274" s="35"/>
      <c r="V274" s="35"/>
      <c r="W274" s="35"/>
      <c r="X274" s="9"/>
      <c r="Y274" s="35"/>
      <c r="Z274" s="9"/>
      <c r="AA274" s="9"/>
    </row>
    <row r="275" spans="1:27" s="61" customFormat="1" x14ac:dyDescent="0.25">
      <c r="A275" s="9"/>
      <c r="B275" s="10"/>
      <c r="C275" s="2"/>
      <c r="D275" s="12"/>
      <c r="E275" s="10"/>
      <c r="F275" s="11"/>
      <c r="G275" s="11"/>
      <c r="H275" s="36"/>
      <c r="I275" s="36"/>
      <c r="J275" s="36"/>
      <c r="K275" s="36"/>
      <c r="L275" s="36"/>
      <c r="M275" s="36"/>
      <c r="N275" s="36"/>
      <c r="O275" s="10"/>
      <c r="P275" s="10"/>
      <c r="Q275" s="9"/>
      <c r="R275" s="9"/>
      <c r="S275" s="13"/>
      <c r="T275" s="35"/>
      <c r="U275" s="35"/>
      <c r="V275" s="35"/>
      <c r="W275" s="35"/>
      <c r="X275" s="9"/>
      <c r="Y275" s="35"/>
      <c r="Z275" s="9"/>
      <c r="AA275" s="9"/>
    </row>
    <row r="276" spans="1:27" s="61" customFormat="1" x14ac:dyDescent="0.25">
      <c r="A276" s="9"/>
      <c r="B276" s="10"/>
      <c r="C276" s="2"/>
      <c r="D276" s="12"/>
      <c r="E276" s="10"/>
      <c r="F276" s="11"/>
      <c r="G276" s="11"/>
      <c r="H276" s="36"/>
      <c r="I276" s="36"/>
      <c r="J276" s="36"/>
      <c r="K276" s="36"/>
      <c r="L276" s="36"/>
      <c r="M276" s="36"/>
      <c r="N276" s="36"/>
      <c r="O276" s="10"/>
      <c r="P276" s="10"/>
      <c r="Q276" s="9"/>
      <c r="R276" s="9"/>
      <c r="S276" s="13"/>
      <c r="T276" s="35"/>
      <c r="U276" s="35"/>
      <c r="V276" s="35"/>
      <c r="W276" s="35"/>
      <c r="X276" s="9"/>
      <c r="Y276" s="35"/>
      <c r="Z276" s="9"/>
      <c r="AA276" s="9"/>
    </row>
    <row r="277" spans="1:27" s="61" customFormat="1" x14ac:dyDescent="0.25">
      <c r="A277" s="9"/>
      <c r="B277" s="10"/>
      <c r="C277" s="2"/>
      <c r="D277" s="12"/>
      <c r="E277" s="10"/>
      <c r="F277" s="11"/>
      <c r="G277" s="11"/>
      <c r="H277" s="36"/>
      <c r="I277" s="36"/>
      <c r="J277" s="36"/>
      <c r="K277" s="36"/>
      <c r="L277" s="36"/>
      <c r="M277" s="36"/>
      <c r="N277" s="36"/>
      <c r="O277" s="10"/>
      <c r="P277" s="10"/>
      <c r="Q277" s="9"/>
      <c r="R277" s="9"/>
      <c r="S277" s="13"/>
      <c r="T277" s="35"/>
      <c r="U277" s="35"/>
      <c r="V277" s="35"/>
      <c r="W277" s="35"/>
      <c r="X277" s="9"/>
      <c r="Y277" s="35"/>
      <c r="Z277" s="9"/>
      <c r="AA277" s="9"/>
    </row>
    <row r="278" spans="1:27" s="61" customFormat="1" x14ac:dyDescent="0.25">
      <c r="A278" s="9"/>
      <c r="B278" s="10"/>
      <c r="C278" s="2"/>
      <c r="D278" s="12"/>
      <c r="E278" s="10"/>
      <c r="F278" s="11"/>
      <c r="G278" s="11"/>
      <c r="H278" s="36"/>
      <c r="I278" s="36"/>
      <c r="J278" s="36"/>
      <c r="K278" s="36"/>
      <c r="L278" s="36"/>
      <c r="M278" s="36"/>
      <c r="N278" s="36"/>
      <c r="O278" s="10"/>
      <c r="P278" s="10"/>
      <c r="Q278" s="9"/>
      <c r="R278" s="9"/>
      <c r="S278" s="13"/>
      <c r="T278" s="35"/>
      <c r="U278" s="35"/>
      <c r="V278" s="35"/>
      <c r="W278" s="35"/>
      <c r="X278" s="9"/>
      <c r="Y278" s="35"/>
      <c r="Z278" s="9"/>
      <c r="AA278" s="9"/>
    </row>
    <row r="279" spans="1:27" s="61" customFormat="1" x14ac:dyDescent="0.25">
      <c r="A279" s="9"/>
      <c r="B279" s="10"/>
      <c r="C279" s="2"/>
      <c r="D279" s="12"/>
      <c r="E279" s="10"/>
      <c r="F279" s="11"/>
      <c r="G279" s="11"/>
      <c r="H279" s="36"/>
      <c r="I279" s="36"/>
      <c r="J279" s="36"/>
      <c r="K279" s="36"/>
      <c r="L279" s="36"/>
      <c r="M279" s="36"/>
      <c r="N279" s="36"/>
      <c r="O279" s="10"/>
      <c r="P279" s="10"/>
      <c r="Q279" s="9"/>
      <c r="R279" s="9"/>
      <c r="S279" s="13"/>
      <c r="T279" s="35"/>
      <c r="U279" s="35"/>
      <c r="V279" s="35"/>
      <c r="W279" s="35"/>
      <c r="X279" s="9"/>
      <c r="Y279" s="35"/>
      <c r="Z279" s="9"/>
      <c r="AA279" s="9"/>
    </row>
    <row r="280" spans="1:27" s="61" customFormat="1" x14ac:dyDescent="0.25">
      <c r="A280" s="9"/>
      <c r="B280" s="10"/>
      <c r="C280" s="2"/>
      <c r="D280" s="12"/>
      <c r="E280" s="10"/>
      <c r="F280" s="11"/>
      <c r="G280" s="11"/>
      <c r="H280" s="36"/>
      <c r="I280" s="36"/>
      <c r="J280" s="36"/>
      <c r="K280" s="36"/>
      <c r="L280" s="36"/>
      <c r="M280" s="36"/>
      <c r="N280" s="36"/>
      <c r="O280" s="10"/>
      <c r="P280" s="10"/>
      <c r="Q280" s="9"/>
      <c r="R280" s="9"/>
      <c r="S280" s="13"/>
      <c r="T280" s="35"/>
      <c r="U280" s="35"/>
      <c r="V280" s="35"/>
      <c r="W280" s="35"/>
      <c r="X280" s="9"/>
      <c r="Y280" s="35"/>
      <c r="Z280" s="9"/>
      <c r="AA280" s="9"/>
    </row>
    <row r="281" spans="1:27" s="61" customFormat="1" x14ac:dyDescent="0.25">
      <c r="A281" s="9"/>
      <c r="B281" s="10"/>
      <c r="C281" s="2"/>
      <c r="D281" s="12"/>
      <c r="E281" s="10"/>
      <c r="F281" s="11"/>
      <c r="G281" s="11"/>
      <c r="H281" s="36"/>
      <c r="I281" s="36"/>
      <c r="J281" s="36"/>
      <c r="K281" s="36"/>
      <c r="L281" s="36"/>
      <c r="M281" s="36"/>
      <c r="N281" s="36"/>
      <c r="O281" s="10"/>
      <c r="P281" s="10"/>
      <c r="Q281" s="9"/>
      <c r="R281" s="9"/>
      <c r="S281" s="13"/>
      <c r="T281" s="35"/>
      <c r="U281" s="35"/>
      <c r="V281" s="35"/>
      <c r="W281" s="35"/>
      <c r="X281" s="9"/>
      <c r="Y281" s="35"/>
      <c r="Z281" s="9"/>
      <c r="AA281" s="9"/>
    </row>
    <row r="282" spans="1:27" s="61" customFormat="1" x14ac:dyDescent="0.25">
      <c r="A282" s="9"/>
      <c r="B282" s="10"/>
      <c r="C282" s="2"/>
      <c r="D282" s="12"/>
      <c r="E282" s="10"/>
      <c r="F282" s="11"/>
      <c r="G282" s="11"/>
      <c r="H282" s="36"/>
      <c r="I282" s="36"/>
      <c r="J282" s="36"/>
      <c r="K282" s="36"/>
      <c r="L282" s="36"/>
      <c r="M282" s="36"/>
      <c r="N282" s="36"/>
      <c r="O282" s="10"/>
      <c r="P282" s="10"/>
      <c r="Q282" s="9"/>
      <c r="R282" s="9"/>
      <c r="S282" s="13"/>
      <c r="T282" s="35"/>
      <c r="U282" s="35"/>
      <c r="V282" s="35"/>
      <c r="W282" s="35"/>
      <c r="X282" s="9"/>
      <c r="Y282" s="35"/>
      <c r="Z282" s="9"/>
      <c r="AA282" s="9"/>
    </row>
    <row r="283" spans="1:27" s="61" customFormat="1" x14ac:dyDescent="0.25">
      <c r="A283" s="9"/>
      <c r="B283" s="10"/>
      <c r="C283" s="2"/>
      <c r="D283" s="12"/>
      <c r="E283" s="10"/>
      <c r="F283" s="11"/>
      <c r="G283" s="11"/>
      <c r="H283" s="36"/>
      <c r="I283" s="36"/>
      <c r="J283" s="36"/>
      <c r="K283" s="36"/>
      <c r="L283" s="36"/>
      <c r="M283" s="36"/>
      <c r="N283" s="36"/>
      <c r="O283" s="10"/>
      <c r="P283" s="10"/>
      <c r="Q283" s="9"/>
      <c r="R283" s="9"/>
      <c r="S283" s="13"/>
      <c r="T283" s="35"/>
      <c r="U283" s="35"/>
      <c r="V283" s="35"/>
      <c r="W283" s="35"/>
      <c r="X283" s="9"/>
      <c r="Y283" s="35"/>
      <c r="Z283" s="9"/>
      <c r="AA283" s="9"/>
    </row>
    <row r="284" spans="1:27" s="61" customFormat="1" x14ac:dyDescent="0.25">
      <c r="A284" s="9"/>
      <c r="B284" s="10"/>
      <c r="C284" s="2"/>
      <c r="D284" s="12"/>
      <c r="E284" s="10"/>
      <c r="F284" s="11"/>
      <c r="G284" s="11"/>
      <c r="H284" s="36"/>
      <c r="I284" s="36"/>
      <c r="J284" s="36"/>
      <c r="K284" s="36"/>
      <c r="L284" s="36"/>
      <c r="M284" s="36"/>
      <c r="N284" s="36"/>
      <c r="O284" s="10"/>
      <c r="P284" s="10"/>
      <c r="Q284" s="9"/>
      <c r="R284" s="9"/>
      <c r="S284" s="13"/>
      <c r="T284" s="35"/>
      <c r="U284" s="35"/>
      <c r="V284" s="35"/>
      <c r="W284" s="35"/>
      <c r="X284" s="9"/>
      <c r="Y284" s="35"/>
      <c r="Z284" s="9"/>
      <c r="AA284" s="9"/>
    </row>
    <row r="285" spans="1:27" s="61" customFormat="1" x14ac:dyDescent="0.25">
      <c r="A285" s="9"/>
      <c r="B285" s="10"/>
      <c r="C285" s="2"/>
      <c r="D285" s="12"/>
      <c r="E285" s="10"/>
      <c r="F285" s="11"/>
      <c r="G285" s="11"/>
      <c r="H285" s="36"/>
      <c r="I285" s="36"/>
      <c r="J285" s="36"/>
      <c r="K285" s="36"/>
      <c r="L285" s="36"/>
      <c r="M285" s="36"/>
      <c r="N285" s="36"/>
      <c r="O285" s="10"/>
      <c r="P285" s="10"/>
      <c r="Q285" s="9"/>
      <c r="R285" s="9"/>
      <c r="S285" s="13"/>
      <c r="T285" s="35"/>
      <c r="U285" s="35"/>
      <c r="V285" s="35"/>
      <c r="W285" s="35"/>
      <c r="X285" s="9"/>
      <c r="Y285" s="35"/>
      <c r="Z285" s="9"/>
      <c r="AA285" s="9"/>
    </row>
    <row r="286" spans="1:27" s="61" customFormat="1" x14ac:dyDescent="0.25">
      <c r="A286" s="9"/>
      <c r="B286" s="10"/>
      <c r="C286" s="2"/>
      <c r="D286" s="12"/>
      <c r="E286" s="10"/>
      <c r="F286" s="11"/>
      <c r="G286" s="11"/>
      <c r="H286" s="36"/>
      <c r="I286" s="36"/>
      <c r="J286" s="36"/>
      <c r="K286" s="36"/>
      <c r="L286" s="36"/>
      <c r="M286" s="36"/>
      <c r="N286" s="36"/>
      <c r="O286" s="10"/>
      <c r="P286" s="10"/>
      <c r="Q286" s="9"/>
      <c r="R286" s="9"/>
      <c r="S286" s="13"/>
      <c r="T286" s="35"/>
      <c r="U286" s="35"/>
      <c r="V286" s="35"/>
      <c r="W286" s="35"/>
      <c r="X286" s="9"/>
      <c r="Y286" s="35"/>
      <c r="Z286" s="9"/>
      <c r="AA286" s="9"/>
    </row>
    <row r="287" spans="1:27" s="61" customFormat="1" x14ac:dyDescent="0.25">
      <c r="A287" s="9"/>
      <c r="B287" s="10"/>
      <c r="C287" s="2"/>
      <c r="D287" s="12"/>
      <c r="E287" s="10"/>
      <c r="F287" s="11"/>
      <c r="G287" s="11"/>
      <c r="H287" s="36"/>
      <c r="I287" s="36"/>
      <c r="J287" s="36"/>
      <c r="K287" s="36"/>
      <c r="L287" s="36"/>
      <c r="M287" s="36"/>
      <c r="N287" s="36"/>
      <c r="O287" s="10"/>
      <c r="P287" s="10"/>
      <c r="Q287" s="9"/>
      <c r="R287" s="9"/>
      <c r="S287" s="13"/>
      <c r="T287" s="35"/>
      <c r="U287" s="35"/>
      <c r="V287" s="35"/>
      <c r="W287" s="35"/>
      <c r="X287" s="9"/>
      <c r="Y287" s="35"/>
      <c r="Z287" s="9"/>
      <c r="AA287" s="9"/>
    </row>
    <row r="288" spans="1:27" s="103" customFormat="1" ht="15.75" customHeight="1" x14ac:dyDescent="0.25">
      <c r="A288" s="9"/>
      <c r="B288" s="10"/>
      <c r="C288" s="2"/>
      <c r="D288" s="12"/>
      <c r="E288" s="10"/>
      <c r="F288" s="11"/>
      <c r="G288" s="11"/>
      <c r="H288" s="36"/>
      <c r="I288" s="36"/>
      <c r="J288" s="36"/>
      <c r="K288" s="36"/>
      <c r="L288" s="36"/>
      <c r="M288" s="36"/>
      <c r="N288" s="36"/>
      <c r="O288" s="10"/>
      <c r="P288" s="10"/>
      <c r="Q288" s="9"/>
      <c r="R288" s="9"/>
      <c r="S288" s="13"/>
      <c r="T288" s="35"/>
      <c r="U288" s="35"/>
      <c r="V288" s="35"/>
      <c r="W288" s="35"/>
      <c r="X288" s="9"/>
      <c r="Y288" s="35"/>
      <c r="Z288" s="9"/>
      <c r="AA288" s="9"/>
    </row>
    <row r="289" spans="1:27" s="103" customFormat="1" ht="14.45" customHeight="1" x14ac:dyDescent="0.25">
      <c r="A289" s="9"/>
      <c r="B289" s="10"/>
      <c r="C289" s="2"/>
      <c r="D289" s="12"/>
      <c r="E289" s="10"/>
      <c r="F289" s="11"/>
      <c r="G289" s="11"/>
      <c r="H289" s="36"/>
      <c r="I289" s="36"/>
      <c r="J289" s="36"/>
      <c r="K289" s="36"/>
      <c r="L289" s="36"/>
      <c r="M289" s="36"/>
      <c r="N289" s="36"/>
      <c r="O289" s="10"/>
      <c r="P289" s="10"/>
      <c r="Q289" s="9"/>
      <c r="R289" s="9"/>
      <c r="S289" s="13"/>
      <c r="T289" s="35"/>
      <c r="U289" s="35"/>
      <c r="V289" s="35"/>
      <c r="W289" s="35"/>
      <c r="X289" s="9"/>
      <c r="Y289" s="35"/>
      <c r="Z289" s="9"/>
      <c r="AA289" s="9"/>
    </row>
    <row r="290" spans="1:27" s="103" customFormat="1" ht="15.75" customHeight="1" x14ac:dyDescent="0.25">
      <c r="A290" s="9"/>
      <c r="B290" s="10"/>
      <c r="C290" s="2"/>
      <c r="D290" s="12"/>
      <c r="E290" s="10"/>
      <c r="F290" s="11"/>
      <c r="G290" s="11"/>
      <c r="H290" s="36"/>
      <c r="I290" s="36"/>
      <c r="J290" s="36"/>
      <c r="K290" s="36"/>
      <c r="L290" s="36"/>
      <c r="M290" s="36"/>
      <c r="N290" s="36"/>
      <c r="O290" s="10"/>
      <c r="P290" s="10"/>
      <c r="Q290" s="9"/>
      <c r="R290" s="9"/>
      <c r="S290" s="13"/>
      <c r="T290" s="35"/>
      <c r="U290" s="35"/>
      <c r="V290" s="35"/>
      <c r="W290" s="35"/>
      <c r="X290" s="9"/>
      <c r="Y290" s="35"/>
      <c r="Z290" s="9"/>
      <c r="AA290" s="9"/>
    </row>
    <row r="291" spans="1:27" s="103" customFormat="1" ht="15.75" customHeight="1" x14ac:dyDescent="0.25">
      <c r="A291" s="9"/>
      <c r="B291" s="10"/>
      <c r="C291" s="2"/>
      <c r="D291" s="12"/>
      <c r="E291" s="10"/>
      <c r="F291" s="11"/>
      <c r="G291" s="11"/>
      <c r="H291" s="36"/>
      <c r="I291" s="36"/>
      <c r="J291" s="36"/>
      <c r="K291" s="36"/>
      <c r="L291" s="36"/>
      <c r="M291" s="36"/>
      <c r="N291" s="36"/>
      <c r="O291" s="10"/>
      <c r="P291" s="10"/>
      <c r="Q291" s="9"/>
      <c r="R291" s="9"/>
      <c r="S291" s="13"/>
      <c r="T291" s="35"/>
      <c r="U291" s="35"/>
      <c r="V291" s="35"/>
      <c r="W291" s="35"/>
      <c r="X291" s="9"/>
      <c r="Y291" s="35"/>
      <c r="Z291" s="9"/>
      <c r="AA291" s="9"/>
    </row>
    <row r="292" spans="1:27" s="103" customFormat="1" ht="15.75" customHeight="1" x14ac:dyDescent="0.25">
      <c r="A292" s="9"/>
      <c r="B292" s="10"/>
      <c r="C292" s="2"/>
      <c r="D292" s="12"/>
      <c r="E292" s="10"/>
      <c r="F292" s="11"/>
      <c r="G292" s="11"/>
      <c r="H292" s="36"/>
      <c r="I292" s="36"/>
      <c r="J292" s="36"/>
      <c r="K292" s="36"/>
      <c r="L292" s="36"/>
      <c r="M292" s="36"/>
      <c r="N292" s="36"/>
      <c r="O292" s="10"/>
      <c r="P292" s="10"/>
      <c r="Q292" s="9"/>
      <c r="R292" s="9"/>
      <c r="S292" s="13"/>
      <c r="T292" s="35"/>
      <c r="U292" s="35"/>
      <c r="V292" s="35"/>
      <c r="W292" s="35"/>
      <c r="X292" s="9"/>
      <c r="Y292" s="35"/>
      <c r="Z292" s="9"/>
      <c r="AA292" s="9"/>
    </row>
    <row r="293" spans="1:27" s="103" customFormat="1" ht="15.75" customHeight="1" x14ac:dyDescent="0.25">
      <c r="A293" s="9"/>
      <c r="B293" s="10"/>
      <c r="C293" s="2"/>
      <c r="D293" s="12"/>
      <c r="E293" s="10"/>
      <c r="F293" s="11"/>
      <c r="G293" s="11"/>
      <c r="H293" s="36"/>
      <c r="I293" s="36"/>
      <c r="J293" s="36"/>
      <c r="K293" s="36"/>
      <c r="L293" s="36"/>
      <c r="M293" s="36"/>
      <c r="N293" s="36"/>
      <c r="O293" s="10"/>
      <c r="P293" s="10"/>
      <c r="Q293" s="9"/>
      <c r="R293" s="9"/>
      <c r="S293" s="13"/>
      <c r="T293" s="35"/>
      <c r="U293" s="35"/>
      <c r="V293" s="35"/>
      <c r="W293" s="35"/>
      <c r="X293" s="9"/>
      <c r="Y293" s="35"/>
      <c r="Z293" s="9"/>
      <c r="AA293" s="9"/>
    </row>
    <row r="294" spans="1:27" s="103" customFormat="1" ht="15.75" customHeight="1" x14ac:dyDescent="0.25">
      <c r="A294" s="9"/>
      <c r="B294" s="10"/>
      <c r="C294" s="2"/>
      <c r="D294" s="12"/>
      <c r="E294" s="10"/>
      <c r="F294" s="11"/>
      <c r="G294" s="11"/>
      <c r="H294" s="36"/>
      <c r="I294" s="36"/>
      <c r="J294" s="36"/>
      <c r="K294" s="36"/>
      <c r="L294" s="36"/>
      <c r="M294" s="36"/>
      <c r="N294" s="36"/>
      <c r="O294" s="10"/>
      <c r="P294" s="10"/>
      <c r="Q294" s="9"/>
      <c r="R294" s="9"/>
      <c r="S294" s="13"/>
      <c r="T294" s="35"/>
      <c r="U294" s="35"/>
      <c r="V294" s="35"/>
      <c r="W294" s="35"/>
      <c r="X294" s="9"/>
      <c r="Y294" s="35"/>
      <c r="Z294" s="9"/>
      <c r="AA294" s="9"/>
    </row>
    <row r="295" spans="1:27" s="103" customFormat="1" ht="15.75" customHeight="1" x14ac:dyDescent="0.25">
      <c r="A295" s="9"/>
      <c r="B295" s="10"/>
      <c r="C295" s="2"/>
      <c r="D295" s="12"/>
      <c r="E295" s="10"/>
      <c r="F295" s="11"/>
      <c r="G295" s="11"/>
      <c r="H295" s="36"/>
      <c r="I295" s="36"/>
      <c r="J295" s="36"/>
      <c r="K295" s="36"/>
      <c r="L295" s="36"/>
      <c r="M295" s="36"/>
      <c r="N295" s="36"/>
      <c r="O295" s="10"/>
      <c r="P295" s="10"/>
      <c r="Q295" s="9"/>
      <c r="R295" s="9"/>
      <c r="S295" s="13"/>
      <c r="T295" s="35"/>
      <c r="U295" s="35"/>
      <c r="V295" s="35"/>
      <c r="W295" s="35"/>
      <c r="X295" s="9"/>
      <c r="Y295" s="35"/>
      <c r="Z295" s="9"/>
      <c r="AA295" s="9"/>
    </row>
    <row r="296" spans="1:27" s="103" customFormat="1" ht="15.75" customHeight="1" x14ac:dyDescent="0.25">
      <c r="A296" s="9"/>
      <c r="B296" s="10"/>
      <c r="C296" s="2"/>
      <c r="D296" s="12"/>
      <c r="E296" s="10"/>
      <c r="F296" s="11"/>
      <c r="G296" s="11"/>
      <c r="H296" s="36"/>
      <c r="I296" s="36"/>
      <c r="J296" s="36"/>
      <c r="K296" s="36"/>
      <c r="L296" s="36"/>
      <c r="M296" s="36"/>
      <c r="N296" s="36"/>
      <c r="O296" s="10"/>
      <c r="P296" s="10"/>
      <c r="Q296" s="9"/>
      <c r="R296" s="9"/>
      <c r="S296" s="13"/>
      <c r="T296" s="35"/>
      <c r="U296" s="35"/>
      <c r="V296" s="35"/>
      <c r="W296" s="35"/>
      <c r="X296" s="9"/>
      <c r="Y296" s="35"/>
      <c r="Z296" s="9"/>
      <c r="AA296" s="9"/>
    </row>
    <row r="297" spans="1:27" s="103" customFormat="1" ht="15.75" customHeight="1" x14ac:dyDescent="0.25">
      <c r="A297" s="9"/>
      <c r="B297" s="10"/>
      <c r="C297" s="2"/>
      <c r="D297" s="12"/>
      <c r="E297" s="10"/>
      <c r="F297" s="11"/>
      <c r="G297" s="11"/>
      <c r="H297" s="36"/>
      <c r="I297" s="36"/>
      <c r="J297" s="36"/>
      <c r="K297" s="36"/>
      <c r="L297" s="36"/>
      <c r="M297" s="36"/>
      <c r="N297" s="36"/>
      <c r="O297" s="10"/>
      <c r="P297" s="10"/>
      <c r="Q297" s="9"/>
      <c r="R297" s="9"/>
      <c r="S297" s="13"/>
      <c r="T297" s="35"/>
      <c r="U297" s="35"/>
      <c r="V297" s="35"/>
      <c r="W297" s="35"/>
      <c r="X297" s="9"/>
      <c r="Y297" s="35"/>
      <c r="Z297" s="9"/>
      <c r="AA297" s="9"/>
    </row>
    <row r="298" spans="1:27" s="103" customFormat="1" ht="15.75" customHeight="1" x14ac:dyDescent="0.25">
      <c r="A298" s="9"/>
      <c r="B298" s="10"/>
      <c r="C298" s="2"/>
      <c r="D298" s="12"/>
      <c r="E298" s="10"/>
      <c r="F298" s="11"/>
      <c r="G298" s="11"/>
      <c r="H298" s="36"/>
      <c r="I298" s="36"/>
      <c r="J298" s="36"/>
      <c r="K298" s="36"/>
      <c r="L298" s="36"/>
      <c r="M298" s="36"/>
      <c r="N298" s="36"/>
      <c r="O298" s="10"/>
      <c r="P298" s="10"/>
      <c r="Q298" s="9"/>
      <c r="R298" s="9"/>
      <c r="S298" s="13"/>
      <c r="T298" s="35"/>
      <c r="U298" s="35"/>
      <c r="V298" s="35"/>
      <c r="W298" s="35"/>
      <c r="X298" s="9"/>
      <c r="Y298" s="35"/>
      <c r="Z298" s="9"/>
      <c r="AA298" s="9"/>
    </row>
    <row r="299" spans="1:27" s="103" customFormat="1" ht="15.75" customHeight="1" x14ac:dyDescent="0.25">
      <c r="A299" s="9"/>
      <c r="B299" s="10"/>
      <c r="C299" s="2"/>
      <c r="D299" s="12"/>
      <c r="E299" s="10"/>
      <c r="F299" s="11"/>
      <c r="G299" s="11"/>
      <c r="H299" s="36"/>
      <c r="I299" s="36"/>
      <c r="J299" s="36"/>
      <c r="K299" s="36"/>
      <c r="L299" s="36"/>
      <c r="M299" s="36"/>
      <c r="N299" s="36"/>
      <c r="O299" s="10"/>
      <c r="P299" s="10"/>
      <c r="Q299" s="9"/>
      <c r="R299" s="9"/>
      <c r="S299" s="13"/>
      <c r="T299" s="35"/>
      <c r="U299" s="35"/>
      <c r="V299" s="35"/>
      <c r="W299" s="35"/>
      <c r="X299" s="9"/>
      <c r="Y299" s="35"/>
      <c r="Z299" s="9"/>
      <c r="AA299" s="9"/>
    </row>
    <row r="300" spans="1:27" s="103" customFormat="1" ht="15.75" customHeight="1" x14ac:dyDescent="0.25">
      <c r="A300" s="9"/>
      <c r="B300" s="10"/>
      <c r="C300" s="2"/>
      <c r="D300" s="12"/>
      <c r="E300" s="10"/>
      <c r="F300" s="11"/>
      <c r="G300" s="11"/>
      <c r="H300" s="36"/>
      <c r="I300" s="36"/>
      <c r="J300" s="36"/>
      <c r="K300" s="36"/>
      <c r="L300" s="36"/>
      <c r="M300" s="36"/>
      <c r="N300" s="36"/>
      <c r="O300" s="10"/>
      <c r="P300" s="10"/>
      <c r="Q300" s="9"/>
      <c r="R300" s="9"/>
      <c r="S300" s="13"/>
      <c r="T300" s="35"/>
      <c r="U300" s="35"/>
      <c r="V300" s="35"/>
      <c r="W300" s="35"/>
      <c r="X300" s="9"/>
      <c r="Y300" s="35"/>
      <c r="Z300" s="9"/>
      <c r="AA300" s="9"/>
    </row>
    <row r="301" spans="1:27" s="103" customFormat="1" ht="15.75" customHeight="1" x14ac:dyDescent="0.25">
      <c r="A301" s="9"/>
      <c r="B301" s="10"/>
      <c r="C301" s="2"/>
      <c r="D301" s="12"/>
      <c r="E301" s="10"/>
      <c r="F301" s="11"/>
      <c r="G301" s="11"/>
      <c r="H301" s="36"/>
      <c r="I301" s="36"/>
      <c r="J301" s="36"/>
      <c r="K301" s="36"/>
      <c r="L301" s="36"/>
      <c r="M301" s="36"/>
      <c r="N301" s="36"/>
      <c r="O301" s="10"/>
      <c r="P301" s="10"/>
      <c r="Q301" s="9"/>
      <c r="R301" s="9"/>
      <c r="S301" s="13"/>
      <c r="T301" s="35"/>
      <c r="U301" s="35"/>
      <c r="V301" s="35"/>
      <c r="W301" s="35"/>
      <c r="X301" s="9"/>
      <c r="Y301" s="35"/>
      <c r="Z301" s="9"/>
      <c r="AA301" s="9"/>
    </row>
    <row r="302" spans="1:27" s="61" customFormat="1" x14ac:dyDescent="0.25">
      <c r="A302" s="9"/>
      <c r="B302" s="10"/>
      <c r="C302" s="2"/>
      <c r="D302" s="12"/>
      <c r="E302" s="10"/>
      <c r="F302" s="11"/>
      <c r="G302" s="11"/>
      <c r="H302" s="36"/>
      <c r="I302" s="36"/>
      <c r="J302" s="36"/>
      <c r="K302" s="36"/>
      <c r="L302" s="36"/>
      <c r="M302" s="36"/>
      <c r="N302" s="36"/>
      <c r="O302" s="10"/>
      <c r="P302" s="10"/>
      <c r="Q302" s="9"/>
      <c r="R302" s="9"/>
      <c r="S302" s="13"/>
      <c r="T302" s="35"/>
      <c r="U302" s="35"/>
      <c r="V302" s="35"/>
      <c r="W302" s="35"/>
      <c r="X302" s="9"/>
      <c r="Y302" s="35"/>
      <c r="Z302" s="9"/>
      <c r="AA302" s="9"/>
    </row>
    <row r="303" spans="1:27" s="61" customFormat="1" x14ac:dyDescent="0.25">
      <c r="A303" s="9"/>
      <c r="B303" s="10"/>
      <c r="C303" s="2"/>
      <c r="D303" s="12"/>
      <c r="E303" s="10"/>
      <c r="F303" s="11"/>
      <c r="G303" s="11"/>
      <c r="H303" s="36"/>
      <c r="I303" s="36"/>
      <c r="J303" s="36"/>
      <c r="K303" s="36"/>
      <c r="L303" s="36"/>
      <c r="M303" s="36"/>
      <c r="N303" s="36"/>
      <c r="O303" s="10"/>
      <c r="P303" s="10"/>
      <c r="Q303" s="9"/>
      <c r="R303" s="9"/>
      <c r="S303" s="13"/>
      <c r="T303" s="35"/>
      <c r="U303" s="35"/>
      <c r="V303" s="35"/>
      <c r="W303" s="35"/>
      <c r="X303" s="9"/>
      <c r="Y303" s="35"/>
      <c r="Z303" s="9"/>
      <c r="AA303" s="9"/>
    </row>
    <row r="304" spans="1:27" s="61" customFormat="1" x14ac:dyDescent="0.25">
      <c r="A304" s="9"/>
      <c r="B304" s="10"/>
      <c r="C304" s="2"/>
      <c r="D304" s="12"/>
      <c r="E304" s="10"/>
      <c r="F304" s="11"/>
      <c r="G304" s="11"/>
      <c r="H304" s="36"/>
      <c r="I304" s="36"/>
      <c r="J304" s="36"/>
      <c r="K304" s="36"/>
      <c r="L304" s="36"/>
      <c r="M304" s="36"/>
      <c r="N304" s="36"/>
      <c r="O304" s="10"/>
      <c r="P304" s="10"/>
      <c r="Q304" s="9"/>
      <c r="R304" s="9"/>
      <c r="S304" s="13"/>
      <c r="T304" s="35"/>
      <c r="U304" s="35"/>
      <c r="V304" s="35"/>
      <c r="W304" s="35"/>
      <c r="X304" s="9"/>
      <c r="Y304" s="35"/>
      <c r="Z304" s="9"/>
      <c r="AA304" s="9"/>
    </row>
    <row r="305" spans="1:27" s="61" customFormat="1" x14ac:dyDescent="0.25">
      <c r="A305" s="9"/>
      <c r="B305" s="10"/>
      <c r="C305" s="2"/>
      <c r="D305" s="12"/>
      <c r="E305" s="10"/>
      <c r="F305" s="11"/>
      <c r="G305" s="11"/>
      <c r="H305" s="36"/>
      <c r="I305" s="36"/>
      <c r="J305" s="36"/>
      <c r="K305" s="36"/>
      <c r="L305" s="36"/>
      <c r="M305" s="36"/>
      <c r="N305" s="36"/>
      <c r="O305" s="10"/>
      <c r="P305" s="10"/>
      <c r="Q305" s="9"/>
      <c r="R305" s="9"/>
      <c r="S305" s="13"/>
      <c r="T305" s="35"/>
      <c r="U305" s="35"/>
      <c r="V305" s="35"/>
      <c r="W305" s="35"/>
      <c r="X305" s="9"/>
      <c r="Y305" s="35"/>
      <c r="Z305" s="9"/>
      <c r="AA305" s="9"/>
    </row>
    <row r="306" spans="1:27" s="61" customFormat="1" x14ac:dyDescent="0.25">
      <c r="A306" s="9"/>
      <c r="B306" s="10"/>
      <c r="C306" s="2"/>
      <c r="D306" s="12"/>
      <c r="E306" s="10"/>
      <c r="F306" s="11"/>
      <c r="G306" s="11"/>
      <c r="H306" s="36"/>
      <c r="I306" s="36"/>
      <c r="J306" s="36"/>
      <c r="K306" s="36"/>
      <c r="L306" s="36"/>
      <c r="M306" s="36"/>
      <c r="N306" s="36"/>
      <c r="O306" s="10"/>
      <c r="P306" s="10"/>
      <c r="Q306" s="9"/>
      <c r="R306" s="9"/>
      <c r="S306" s="13"/>
      <c r="T306" s="35"/>
      <c r="U306" s="35"/>
      <c r="V306" s="35"/>
      <c r="W306" s="35"/>
      <c r="X306" s="9"/>
      <c r="Y306" s="35"/>
      <c r="Z306" s="9"/>
      <c r="AA306" s="9"/>
    </row>
    <row r="307" spans="1:27" s="61" customFormat="1" x14ac:dyDescent="0.25">
      <c r="A307" s="9"/>
      <c r="B307" s="10"/>
      <c r="C307" s="2"/>
      <c r="D307" s="12"/>
      <c r="E307" s="10"/>
      <c r="F307" s="11"/>
      <c r="G307" s="11"/>
      <c r="H307" s="36"/>
      <c r="I307" s="36"/>
      <c r="J307" s="36"/>
      <c r="K307" s="36"/>
      <c r="L307" s="36"/>
      <c r="M307" s="36"/>
      <c r="N307" s="36"/>
      <c r="O307" s="10"/>
      <c r="P307" s="10"/>
      <c r="Q307" s="9"/>
      <c r="R307" s="9"/>
      <c r="S307" s="13"/>
      <c r="T307" s="35"/>
      <c r="U307" s="35"/>
      <c r="V307" s="35"/>
      <c r="W307" s="35"/>
      <c r="X307" s="9"/>
      <c r="Y307" s="35"/>
      <c r="Z307" s="9"/>
      <c r="AA307" s="9"/>
    </row>
    <row r="308" spans="1:27" s="61" customFormat="1" x14ac:dyDescent="0.25">
      <c r="A308" s="9"/>
      <c r="B308" s="10"/>
      <c r="C308" s="2"/>
      <c r="D308" s="12"/>
      <c r="E308" s="10"/>
      <c r="F308" s="11"/>
      <c r="G308" s="11"/>
      <c r="H308" s="36"/>
      <c r="I308" s="36"/>
      <c r="J308" s="36"/>
      <c r="K308" s="36"/>
      <c r="L308" s="36"/>
      <c r="M308" s="36"/>
      <c r="N308" s="36"/>
      <c r="O308" s="10"/>
      <c r="P308" s="10"/>
      <c r="Q308" s="9"/>
      <c r="R308" s="9"/>
      <c r="S308" s="13"/>
      <c r="T308" s="35"/>
      <c r="U308" s="35"/>
      <c r="V308" s="35"/>
      <c r="W308" s="35"/>
      <c r="X308" s="9"/>
      <c r="Y308" s="35"/>
      <c r="Z308" s="9"/>
      <c r="AA308" s="9"/>
    </row>
    <row r="309" spans="1:27" s="61" customFormat="1" x14ac:dyDescent="0.25">
      <c r="A309" s="9"/>
      <c r="B309" s="10"/>
      <c r="C309" s="2"/>
      <c r="D309" s="12"/>
      <c r="E309" s="10"/>
      <c r="F309" s="11"/>
      <c r="G309" s="11"/>
      <c r="H309" s="36"/>
      <c r="I309" s="36"/>
      <c r="J309" s="36"/>
      <c r="K309" s="36"/>
      <c r="L309" s="36"/>
      <c r="M309" s="36"/>
      <c r="N309" s="36"/>
      <c r="O309" s="10"/>
      <c r="P309" s="10"/>
      <c r="Q309" s="9"/>
      <c r="R309" s="9"/>
      <c r="S309" s="13"/>
      <c r="T309" s="35"/>
      <c r="U309" s="35"/>
      <c r="V309" s="35"/>
      <c r="W309" s="35"/>
      <c r="X309" s="9"/>
      <c r="Y309" s="35"/>
      <c r="Z309" s="9"/>
      <c r="AA309" s="9"/>
    </row>
    <row r="310" spans="1:27" s="61" customFormat="1" x14ac:dyDescent="0.25">
      <c r="A310" s="9"/>
      <c r="B310" s="10"/>
      <c r="C310" s="2"/>
      <c r="D310" s="12"/>
      <c r="E310" s="10"/>
      <c r="F310" s="11"/>
      <c r="G310" s="11"/>
      <c r="H310" s="36"/>
      <c r="I310" s="36"/>
      <c r="J310" s="36"/>
      <c r="K310" s="36"/>
      <c r="L310" s="36"/>
      <c r="M310" s="36"/>
      <c r="N310" s="36"/>
      <c r="O310" s="10"/>
      <c r="P310" s="10"/>
      <c r="Q310" s="9"/>
      <c r="R310" s="9"/>
      <c r="S310" s="13"/>
      <c r="T310" s="35"/>
      <c r="U310" s="35"/>
      <c r="V310" s="35"/>
      <c r="W310" s="35"/>
      <c r="X310" s="9"/>
      <c r="Y310" s="35"/>
      <c r="Z310" s="9"/>
      <c r="AA310" s="9"/>
    </row>
    <row r="311" spans="1:27" s="61" customFormat="1" x14ac:dyDescent="0.25">
      <c r="A311" s="9"/>
      <c r="B311" s="10"/>
      <c r="C311" s="2"/>
      <c r="D311" s="12"/>
      <c r="E311" s="10"/>
      <c r="F311" s="11"/>
      <c r="G311" s="11"/>
      <c r="H311" s="36"/>
      <c r="I311" s="36"/>
      <c r="J311" s="36"/>
      <c r="K311" s="36"/>
      <c r="L311" s="36"/>
      <c r="M311" s="36"/>
      <c r="N311" s="36"/>
      <c r="O311" s="10"/>
      <c r="P311" s="10"/>
      <c r="Q311" s="9"/>
      <c r="R311" s="9"/>
      <c r="S311" s="13"/>
      <c r="T311" s="35"/>
      <c r="U311" s="35"/>
      <c r="V311" s="35"/>
      <c r="W311" s="35"/>
      <c r="X311" s="9"/>
      <c r="Y311" s="35"/>
      <c r="Z311" s="9"/>
      <c r="AA311" s="9"/>
    </row>
    <row r="312" spans="1:27" s="61" customFormat="1" x14ac:dyDescent="0.25">
      <c r="A312" s="9"/>
      <c r="B312" s="10"/>
      <c r="C312" s="2"/>
      <c r="D312" s="12"/>
      <c r="E312" s="10"/>
      <c r="F312" s="11"/>
      <c r="G312" s="11"/>
      <c r="H312" s="36"/>
      <c r="I312" s="36"/>
      <c r="J312" s="36"/>
      <c r="K312" s="36"/>
      <c r="L312" s="36"/>
      <c r="M312" s="36"/>
      <c r="N312" s="36"/>
      <c r="O312" s="10"/>
      <c r="P312" s="10"/>
      <c r="Q312" s="9"/>
      <c r="R312" s="9"/>
      <c r="S312" s="13"/>
      <c r="T312" s="35"/>
      <c r="U312" s="35"/>
      <c r="V312" s="35"/>
      <c r="W312" s="35"/>
      <c r="X312" s="9"/>
      <c r="Y312" s="35"/>
      <c r="Z312" s="9"/>
      <c r="AA312" s="9"/>
    </row>
    <row r="313" spans="1:27" s="61" customFormat="1" x14ac:dyDescent="0.25">
      <c r="A313" s="9"/>
      <c r="B313" s="10"/>
      <c r="C313" s="2"/>
      <c r="D313" s="12"/>
      <c r="E313" s="10"/>
      <c r="F313" s="11"/>
      <c r="G313" s="11"/>
      <c r="H313" s="36"/>
      <c r="I313" s="36"/>
      <c r="J313" s="36"/>
      <c r="K313" s="36"/>
      <c r="L313" s="36"/>
      <c r="M313" s="36"/>
      <c r="N313" s="36"/>
      <c r="O313" s="10"/>
      <c r="P313" s="10"/>
      <c r="Q313" s="9"/>
      <c r="R313" s="9"/>
      <c r="S313" s="13"/>
      <c r="T313" s="35"/>
      <c r="U313" s="35"/>
      <c r="V313" s="35"/>
      <c r="W313" s="35"/>
      <c r="X313" s="9"/>
      <c r="Y313" s="35"/>
      <c r="Z313" s="9"/>
      <c r="AA313" s="9"/>
    </row>
    <row r="314" spans="1:27" s="61" customFormat="1" x14ac:dyDescent="0.25">
      <c r="A314" s="9"/>
      <c r="B314" s="10"/>
      <c r="C314" s="2"/>
      <c r="D314" s="12"/>
      <c r="E314" s="10"/>
      <c r="F314" s="11"/>
      <c r="G314" s="11"/>
      <c r="H314" s="36"/>
      <c r="I314" s="36"/>
      <c r="J314" s="36"/>
      <c r="K314" s="36"/>
      <c r="L314" s="36"/>
      <c r="M314" s="36"/>
      <c r="N314" s="36"/>
      <c r="O314" s="10"/>
      <c r="P314" s="10"/>
      <c r="Q314" s="9"/>
      <c r="R314" s="9"/>
      <c r="S314" s="13"/>
      <c r="T314" s="35"/>
      <c r="U314" s="35"/>
      <c r="V314" s="35"/>
      <c r="W314" s="35"/>
      <c r="X314" s="9"/>
      <c r="Y314" s="35"/>
      <c r="Z314" s="9"/>
      <c r="AA314" s="9"/>
    </row>
    <row r="315" spans="1:27" s="61" customFormat="1" x14ac:dyDescent="0.25">
      <c r="A315" s="9"/>
      <c r="B315" s="10"/>
      <c r="C315" s="2"/>
      <c r="D315" s="12"/>
      <c r="E315" s="10"/>
      <c r="F315" s="11"/>
      <c r="G315" s="11"/>
      <c r="H315" s="36"/>
      <c r="I315" s="36"/>
      <c r="J315" s="36"/>
      <c r="K315" s="36"/>
      <c r="L315" s="36"/>
      <c r="M315" s="36"/>
      <c r="N315" s="36"/>
      <c r="O315" s="10"/>
      <c r="P315" s="10"/>
      <c r="Q315" s="9"/>
      <c r="R315" s="9"/>
      <c r="S315" s="13"/>
      <c r="T315" s="35"/>
      <c r="U315" s="35"/>
      <c r="V315" s="35"/>
      <c r="W315" s="35"/>
      <c r="X315" s="9"/>
      <c r="Y315" s="35"/>
      <c r="Z315" s="9"/>
      <c r="AA315" s="9"/>
    </row>
    <row r="316" spans="1:27" s="61" customFormat="1" x14ac:dyDescent="0.25">
      <c r="A316" s="9"/>
      <c r="B316" s="10"/>
      <c r="C316" s="2"/>
      <c r="D316" s="12"/>
      <c r="E316" s="10"/>
      <c r="F316" s="11"/>
      <c r="G316" s="11"/>
      <c r="H316" s="36"/>
      <c r="I316" s="36"/>
      <c r="J316" s="36"/>
      <c r="K316" s="36"/>
      <c r="L316" s="36"/>
      <c r="M316" s="36"/>
      <c r="N316" s="36"/>
      <c r="O316" s="10"/>
      <c r="P316" s="10"/>
      <c r="Q316" s="9"/>
      <c r="R316" s="9"/>
      <c r="S316" s="13"/>
      <c r="T316" s="35"/>
      <c r="U316" s="35"/>
      <c r="V316" s="35"/>
      <c r="W316" s="35"/>
      <c r="X316" s="9"/>
      <c r="Y316" s="35"/>
      <c r="Z316" s="9"/>
      <c r="AA316" s="9"/>
    </row>
    <row r="317" spans="1:27" s="61" customFormat="1" x14ac:dyDescent="0.25">
      <c r="A317" s="9"/>
      <c r="B317" s="10"/>
      <c r="C317" s="2"/>
      <c r="D317" s="12"/>
      <c r="E317" s="10"/>
      <c r="F317" s="11"/>
      <c r="G317" s="11"/>
      <c r="H317" s="36"/>
      <c r="I317" s="36"/>
      <c r="J317" s="36"/>
      <c r="K317" s="36"/>
      <c r="L317" s="36"/>
      <c r="M317" s="36"/>
      <c r="N317" s="36"/>
      <c r="O317" s="10"/>
      <c r="P317" s="10"/>
      <c r="Q317" s="9"/>
      <c r="R317" s="9"/>
      <c r="S317" s="13"/>
      <c r="T317" s="35"/>
      <c r="U317" s="35"/>
      <c r="V317" s="35"/>
      <c r="W317" s="35"/>
      <c r="X317" s="9"/>
      <c r="Y317" s="35"/>
      <c r="Z317" s="9"/>
      <c r="AA317" s="9"/>
    </row>
    <row r="318" spans="1:27" s="61" customFormat="1" x14ac:dyDescent="0.25">
      <c r="A318" s="9"/>
      <c r="B318" s="10"/>
      <c r="C318" s="2"/>
      <c r="D318" s="12"/>
      <c r="E318" s="10"/>
      <c r="F318" s="11"/>
      <c r="G318" s="11"/>
      <c r="H318" s="36"/>
      <c r="I318" s="36"/>
      <c r="J318" s="36"/>
      <c r="K318" s="36"/>
      <c r="L318" s="36"/>
      <c r="M318" s="36"/>
      <c r="N318" s="36"/>
      <c r="O318" s="10"/>
      <c r="P318" s="10"/>
      <c r="Q318" s="9"/>
      <c r="R318" s="9"/>
      <c r="S318" s="13"/>
      <c r="T318" s="35"/>
      <c r="U318" s="35"/>
      <c r="V318" s="35"/>
      <c r="W318" s="35"/>
      <c r="X318" s="9"/>
      <c r="Y318" s="35"/>
      <c r="Z318" s="9"/>
      <c r="AA318" s="9"/>
    </row>
    <row r="319" spans="1:27" s="61" customFormat="1" x14ac:dyDescent="0.25">
      <c r="A319" s="9"/>
      <c r="B319" s="10"/>
      <c r="C319" s="2"/>
      <c r="D319" s="12"/>
      <c r="E319" s="10"/>
      <c r="F319" s="11"/>
      <c r="G319" s="11"/>
      <c r="H319" s="36"/>
      <c r="I319" s="36"/>
      <c r="J319" s="36"/>
      <c r="K319" s="36"/>
      <c r="L319" s="36"/>
      <c r="M319" s="36"/>
      <c r="N319" s="36"/>
      <c r="O319" s="10"/>
      <c r="P319" s="10"/>
      <c r="Q319" s="9"/>
      <c r="R319" s="9"/>
      <c r="S319" s="13"/>
      <c r="T319" s="35"/>
      <c r="U319" s="35"/>
      <c r="V319" s="35"/>
      <c r="W319" s="35"/>
      <c r="X319" s="9"/>
      <c r="Y319" s="35"/>
      <c r="Z319" s="9"/>
      <c r="AA319" s="9"/>
    </row>
    <row r="320" spans="1:27" s="61" customFormat="1" x14ac:dyDescent="0.25">
      <c r="A320" s="9"/>
      <c r="B320" s="10"/>
      <c r="C320" s="2"/>
      <c r="D320" s="12"/>
      <c r="E320" s="10"/>
      <c r="F320" s="11"/>
      <c r="G320" s="11"/>
      <c r="H320" s="36"/>
      <c r="I320" s="36"/>
      <c r="J320" s="36"/>
      <c r="K320" s="36"/>
      <c r="L320" s="36"/>
      <c r="M320" s="36"/>
      <c r="N320" s="36"/>
      <c r="O320" s="10"/>
      <c r="P320" s="10"/>
      <c r="Q320" s="9"/>
      <c r="R320" s="9"/>
      <c r="S320" s="13"/>
      <c r="T320" s="35"/>
      <c r="U320" s="35"/>
      <c r="V320" s="35"/>
      <c r="W320" s="35"/>
      <c r="X320" s="9"/>
      <c r="Y320" s="35"/>
      <c r="Z320" s="9"/>
      <c r="AA320" s="9"/>
    </row>
    <row r="321" spans="1:27" s="61" customFormat="1" x14ac:dyDescent="0.25">
      <c r="A321" s="9"/>
      <c r="B321" s="10"/>
      <c r="C321" s="2"/>
      <c r="D321" s="12"/>
      <c r="E321" s="10"/>
      <c r="F321" s="11"/>
      <c r="G321" s="11"/>
      <c r="H321" s="36"/>
      <c r="I321" s="36"/>
      <c r="J321" s="36"/>
      <c r="K321" s="36"/>
      <c r="L321" s="36"/>
      <c r="M321" s="36"/>
      <c r="N321" s="36"/>
      <c r="O321" s="10"/>
      <c r="P321" s="10"/>
      <c r="Q321" s="9"/>
      <c r="R321" s="9"/>
      <c r="S321" s="13"/>
      <c r="T321" s="35"/>
      <c r="U321" s="35"/>
      <c r="V321" s="35"/>
      <c r="W321" s="35"/>
      <c r="X321" s="9"/>
      <c r="Y321" s="35"/>
      <c r="Z321" s="9"/>
      <c r="AA321" s="9"/>
    </row>
    <row r="322" spans="1:27" s="61" customFormat="1" x14ac:dyDescent="0.25">
      <c r="A322" s="9"/>
      <c r="B322" s="10"/>
      <c r="C322" s="2"/>
      <c r="D322" s="12"/>
      <c r="E322" s="10"/>
      <c r="F322" s="11"/>
      <c r="G322" s="11"/>
      <c r="H322" s="36"/>
      <c r="I322" s="36"/>
      <c r="J322" s="36"/>
      <c r="K322" s="36"/>
      <c r="L322" s="36"/>
      <c r="M322" s="36"/>
      <c r="N322" s="36"/>
      <c r="O322" s="10"/>
      <c r="P322" s="10"/>
      <c r="Q322" s="9"/>
      <c r="R322" s="9"/>
      <c r="S322" s="13"/>
      <c r="T322" s="35"/>
      <c r="U322" s="35"/>
      <c r="V322" s="35"/>
      <c r="W322" s="35"/>
      <c r="X322" s="9"/>
      <c r="Y322" s="35"/>
      <c r="Z322" s="9"/>
      <c r="AA322" s="9"/>
    </row>
    <row r="323" spans="1:27" s="61" customFormat="1" x14ac:dyDescent="0.25">
      <c r="A323" s="9"/>
      <c r="B323" s="10"/>
      <c r="C323" s="2"/>
      <c r="D323" s="12"/>
      <c r="E323" s="10"/>
      <c r="F323" s="11"/>
      <c r="G323" s="11"/>
      <c r="H323" s="36"/>
      <c r="I323" s="36"/>
      <c r="J323" s="36"/>
      <c r="K323" s="36"/>
      <c r="L323" s="36"/>
      <c r="M323" s="36"/>
      <c r="N323" s="36"/>
      <c r="O323" s="10"/>
      <c r="P323" s="10"/>
      <c r="Q323" s="9"/>
      <c r="R323" s="9"/>
      <c r="S323" s="13"/>
      <c r="T323" s="35"/>
      <c r="U323" s="35"/>
      <c r="V323" s="35"/>
      <c r="W323" s="35"/>
      <c r="X323" s="9"/>
      <c r="Y323" s="35"/>
      <c r="Z323" s="9"/>
      <c r="AA323" s="9"/>
    </row>
    <row r="324" spans="1:27" s="61" customFormat="1" x14ac:dyDescent="0.25">
      <c r="A324" s="9"/>
      <c r="B324" s="10"/>
      <c r="C324" s="2"/>
      <c r="D324" s="12"/>
      <c r="E324" s="10"/>
      <c r="F324" s="11"/>
      <c r="G324" s="11"/>
      <c r="H324" s="36"/>
      <c r="I324" s="36"/>
      <c r="J324" s="36"/>
      <c r="K324" s="36"/>
      <c r="L324" s="36"/>
      <c r="M324" s="36"/>
      <c r="N324" s="36"/>
      <c r="O324" s="10"/>
      <c r="P324" s="10"/>
      <c r="Q324" s="9"/>
      <c r="R324" s="9"/>
      <c r="S324" s="13"/>
      <c r="T324" s="35"/>
      <c r="U324" s="35"/>
      <c r="V324" s="35"/>
      <c r="W324" s="35"/>
      <c r="X324" s="9"/>
      <c r="Y324" s="35"/>
      <c r="Z324" s="9"/>
      <c r="AA324" s="9"/>
    </row>
    <row r="325" spans="1:27" s="61" customFormat="1" x14ac:dyDescent="0.25">
      <c r="A325" s="9"/>
      <c r="B325" s="10"/>
      <c r="C325" s="2"/>
      <c r="D325" s="12"/>
      <c r="E325" s="10"/>
      <c r="F325" s="11"/>
      <c r="G325" s="11"/>
      <c r="H325" s="36"/>
      <c r="I325" s="36"/>
      <c r="J325" s="36"/>
      <c r="K325" s="36"/>
      <c r="L325" s="36"/>
      <c r="M325" s="36"/>
      <c r="N325" s="36"/>
      <c r="O325" s="10"/>
      <c r="P325" s="10"/>
      <c r="Q325" s="9"/>
      <c r="R325" s="9"/>
      <c r="S325" s="13"/>
      <c r="T325" s="35"/>
      <c r="U325" s="35"/>
      <c r="V325" s="35"/>
      <c r="W325" s="35"/>
      <c r="X325" s="9"/>
      <c r="Y325" s="35"/>
      <c r="Z325" s="9"/>
      <c r="AA325" s="9"/>
    </row>
    <row r="326" spans="1:27" s="61" customFormat="1" x14ac:dyDescent="0.25">
      <c r="A326" s="9"/>
      <c r="B326" s="10"/>
      <c r="C326" s="2"/>
      <c r="D326" s="12"/>
      <c r="E326" s="10"/>
      <c r="F326" s="11"/>
      <c r="G326" s="11"/>
      <c r="H326" s="36"/>
      <c r="I326" s="36"/>
      <c r="J326" s="36"/>
      <c r="K326" s="36"/>
      <c r="L326" s="36"/>
      <c r="M326" s="36"/>
      <c r="N326" s="36"/>
      <c r="O326" s="10"/>
      <c r="P326" s="10"/>
      <c r="Q326" s="9"/>
      <c r="R326" s="9"/>
      <c r="S326" s="13"/>
      <c r="T326" s="35"/>
      <c r="U326" s="35"/>
      <c r="V326" s="35"/>
      <c r="W326" s="35"/>
      <c r="X326" s="9"/>
      <c r="Y326" s="35"/>
      <c r="Z326" s="9"/>
      <c r="AA326" s="9"/>
    </row>
    <row r="327" spans="1:27" s="61" customFormat="1" x14ac:dyDescent="0.25">
      <c r="A327" s="9"/>
      <c r="B327" s="10"/>
      <c r="C327" s="2"/>
      <c r="D327" s="12"/>
      <c r="E327" s="10"/>
      <c r="F327" s="11"/>
      <c r="G327" s="11"/>
      <c r="H327" s="36"/>
      <c r="I327" s="36"/>
      <c r="J327" s="36"/>
      <c r="K327" s="36"/>
      <c r="L327" s="36"/>
      <c r="M327" s="36"/>
      <c r="N327" s="36"/>
      <c r="O327" s="10"/>
      <c r="P327" s="10"/>
      <c r="Q327" s="9"/>
      <c r="R327" s="9"/>
      <c r="S327" s="13"/>
      <c r="T327" s="35"/>
      <c r="U327" s="35"/>
      <c r="V327" s="35"/>
      <c r="W327" s="35"/>
      <c r="X327" s="9"/>
      <c r="Y327" s="35"/>
      <c r="Z327" s="9"/>
      <c r="AA327" s="9"/>
    </row>
    <row r="328" spans="1:27" s="61" customFormat="1" x14ac:dyDescent="0.25">
      <c r="A328" s="9"/>
      <c r="B328" s="10"/>
      <c r="C328" s="2"/>
      <c r="D328" s="12"/>
      <c r="E328" s="10"/>
      <c r="F328" s="11"/>
      <c r="G328" s="11"/>
      <c r="H328" s="36"/>
      <c r="I328" s="36"/>
      <c r="J328" s="36"/>
      <c r="K328" s="36"/>
      <c r="L328" s="36"/>
      <c r="M328" s="36"/>
      <c r="N328" s="36"/>
      <c r="O328" s="10"/>
      <c r="P328" s="10"/>
      <c r="Q328" s="9"/>
      <c r="R328" s="9"/>
      <c r="S328" s="13"/>
      <c r="T328" s="35"/>
      <c r="U328" s="35"/>
      <c r="V328" s="35"/>
      <c r="W328" s="35"/>
      <c r="X328" s="9"/>
      <c r="Y328" s="35"/>
      <c r="Z328" s="9"/>
      <c r="AA328" s="9"/>
    </row>
    <row r="329" spans="1:27" s="61" customFormat="1" x14ac:dyDescent="0.25">
      <c r="A329" s="9"/>
      <c r="B329" s="10"/>
      <c r="C329" s="2"/>
      <c r="D329" s="12"/>
      <c r="E329" s="10"/>
      <c r="F329" s="11"/>
      <c r="G329" s="11"/>
      <c r="H329" s="36"/>
      <c r="I329" s="36"/>
      <c r="J329" s="36"/>
      <c r="K329" s="36"/>
      <c r="L329" s="36"/>
      <c r="M329" s="36"/>
      <c r="N329" s="36"/>
      <c r="O329" s="10"/>
      <c r="P329" s="10"/>
      <c r="Q329" s="9"/>
      <c r="R329" s="9"/>
      <c r="S329" s="13"/>
      <c r="T329" s="35"/>
      <c r="U329" s="35"/>
      <c r="V329" s="35"/>
      <c r="W329" s="35"/>
      <c r="X329" s="9"/>
      <c r="Y329" s="35"/>
      <c r="Z329" s="9"/>
      <c r="AA329" s="9"/>
    </row>
    <row r="330" spans="1:27" s="61" customFormat="1" x14ac:dyDescent="0.25">
      <c r="A330" s="9"/>
      <c r="B330" s="10"/>
      <c r="C330" s="2"/>
      <c r="D330" s="12"/>
      <c r="E330" s="10"/>
      <c r="F330" s="11"/>
      <c r="G330" s="11"/>
      <c r="H330" s="36"/>
      <c r="I330" s="36"/>
      <c r="J330" s="36"/>
      <c r="K330" s="36"/>
      <c r="L330" s="36"/>
      <c r="M330" s="36"/>
      <c r="N330" s="36"/>
      <c r="O330" s="10"/>
      <c r="P330" s="10"/>
      <c r="Q330" s="9"/>
      <c r="R330" s="9"/>
      <c r="S330" s="13"/>
      <c r="T330" s="35"/>
      <c r="U330" s="35"/>
      <c r="V330" s="35"/>
      <c r="W330" s="35"/>
      <c r="X330" s="9"/>
      <c r="Y330" s="35"/>
      <c r="Z330" s="9"/>
      <c r="AA330" s="9"/>
    </row>
    <row r="331" spans="1:27" s="61" customFormat="1" x14ac:dyDescent="0.25">
      <c r="A331" s="9"/>
      <c r="B331" s="10"/>
      <c r="C331" s="2"/>
      <c r="D331" s="12"/>
      <c r="E331" s="10"/>
      <c r="F331" s="11"/>
      <c r="G331" s="11"/>
      <c r="H331" s="36"/>
      <c r="I331" s="36"/>
      <c r="J331" s="36"/>
      <c r="K331" s="36"/>
      <c r="L331" s="36"/>
      <c r="M331" s="36"/>
      <c r="N331" s="36"/>
      <c r="O331" s="10"/>
      <c r="P331" s="10"/>
      <c r="Q331" s="9"/>
      <c r="R331" s="9"/>
      <c r="S331" s="13"/>
      <c r="T331" s="35"/>
      <c r="U331" s="35"/>
      <c r="V331" s="35"/>
      <c r="W331" s="35"/>
      <c r="X331" s="9"/>
      <c r="Y331" s="35"/>
      <c r="Z331" s="9"/>
      <c r="AA331" s="9"/>
    </row>
    <row r="332" spans="1:27" s="61" customFormat="1" x14ac:dyDescent="0.25">
      <c r="A332" s="9"/>
      <c r="B332" s="10"/>
      <c r="C332" s="2"/>
      <c r="D332" s="12"/>
      <c r="E332" s="10"/>
      <c r="F332" s="11"/>
      <c r="G332" s="11"/>
      <c r="H332" s="36"/>
      <c r="I332" s="36"/>
      <c r="J332" s="36"/>
      <c r="K332" s="36"/>
      <c r="L332" s="36"/>
      <c r="M332" s="36"/>
      <c r="N332" s="36"/>
      <c r="O332" s="10"/>
      <c r="P332" s="10"/>
      <c r="Q332" s="9"/>
      <c r="R332" s="9"/>
      <c r="S332" s="13"/>
      <c r="T332" s="35"/>
      <c r="U332" s="35"/>
      <c r="V332" s="35"/>
      <c r="W332" s="35"/>
      <c r="X332" s="9"/>
      <c r="Y332" s="35"/>
      <c r="Z332" s="9"/>
      <c r="AA332" s="9"/>
    </row>
    <row r="333" spans="1:27" s="61" customFormat="1" x14ac:dyDescent="0.25">
      <c r="A333" s="9"/>
      <c r="B333" s="10"/>
      <c r="C333" s="2"/>
      <c r="D333" s="12"/>
      <c r="E333" s="10"/>
      <c r="F333" s="11"/>
      <c r="G333" s="11"/>
      <c r="H333" s="36"/>
      <c r="I333" s="36"/>
      <c r="J333" s="36"/>
      <c r="K333" s="36"/>
      <c r="L333" s="36"/>
      <c r="M333" s="36"/>
      <c r="N333" s="36"/>
      <c r="O333" s="10"/>
      <c r="P333" s="10"/>
      <c r="Q333" s="9"/>
      <c r="R333" s="9"/>
      <c r="S333" s="13"/>
      <c r="T333" s="35"/>
      <c r="U333" s="35"/>
      <c r="V333" s="35"/>
      <c r="W333" s="35"/>
      <c r="X333" s="9"/>
      <c r="Y333" s="35"/>
      <c r="Z333" s="9"/>
      <c r="AA333" s="9"/>
    </row>
    <row r="334" spans="1:27" s="61" customFormat="1" x14ac:dyDescent="0.25">
      <c r="A334" s="9"/>
      <c r="B334" s="10"/>
      <c r="C334" s="2"/>
      <c r="D334" s="12"/>
      <c r="E334" s="10"/>
      <c r="F334" s="11"/>
      <c r="G334" s="11"/>
      <c r="H334" s="36"/>
      <c r="I334" s="36"/>
      <c r="J334" s="36"/>
      <c r="K334" s="36"/>
      <c r="L334" s="36"/>
      <c r="M334" s="36"/>
      <c r="N334" s="36"/>
      <c r="O334" s="10"/>
      <c r="P334" s="10"/>
      <c r="Q334" s="9"/>
      <c r="R334" s="9"/>
      <c r="S334" s="13"/>
      <c r="T334" s="35"/>
      <c r="U334" s="35"/>
      <c r="V334" s="35"/>
      <c r="W334" s="35"/>
      <c r="X334" s="9"/>
      <c r="Y334" s="35"/>
      <c r="Z334" s="9"/>
      <c r="AA334" s="9"/>
    </row>
    <row r="335" spans="1:27" s="61" customFormat="1" x14ac:dyDescent="0.25">
      <c r="A335" s="9"/>
      <c r="B335" s="10"/>
      <c r="C335" s="2"/>
      <c r="D335" s="12"/>
      <c r="E335" s="10"/>
      <c r="F335" s="11"/>
      <c r="G335" s="11"/>
      <c r="H335" s="36"/>
      <c r="I335" s="36"/>
      <c r="J335" s="36"/>
      <c r="K335" s="36"/>
      <c r="L335" s="36"/>
      <c r="M335" s="36"/>
      <c r="N335" s="36"/>
      <c r="O335" s="10"/>
      <c r="P335" s="10"/>
      <c r="Q335" s="9"/>
      <c r="R335" s="9"/>
      <c r="S335" s="13"/>
      <c r="T335" s="35"/>
      <c r="U335" s="35"/>
      <c r="V335" s="35"/>
      <c r="W335" s="35"/>
      <c r="X335" s="9"/>
      <c r="Y335" s="35"/>
      <c r="Z335" s="9"/>
      <c r="AA335" s="9"/>
    </row>
    <row r="336" spans="1:27" s="61" customFormat="1" x14ac:dyDescent="0.25">
      <c r="A336" s="9"/>
      <c r="B336" s="10"/>
      <c r="C336" s="2"/>
      <c r="D336" s="12"/>
      <c r="E336" s="10"/>
      <c r="F336" s="11"/>
      <c r="G336" s="11"/>
      <c r="H336" s="36"/>
      <c r="I336" s="36"/>
      <c r="J336" s="36"/>
      <c r="K336" s="36"/>
      <c r="L336" s="36"/>
      <c r="M336" s="36"/>
      <c r="N336" s="36"/>
      <c r="O336" s="10"/>
      <c r="P336" s="10"/>
      <c r="Q336" s="9"/>
      <c r="R336" s="9"/>
      <c r="S336" s="13"/>
      <c r="T336" s="35"/>
      <c r="U336" s="35"/>
      <c r="V336" s="35"/>
      <c r="W336" s="35"/>
      <c r="X336" s="9"/>
      <c r="Y336" s="35"/>
      <c r="Z336" s="9"/>
      <c r="AA336" s="9"/>
    </row>
    <row r="337" spans="1:27" s="61" customFormat="1" x14ac:dyDescent="0.25">
      <c r="A337" s="9"/>
      <c r="B337" s="10"/>
      <c r="C337" s="2"/>
      <c r="D337" s="12"/>
      <c r="E337" s="10"/>
      <c r="F337" s="11"/>
      <c r="G337" s="11"/>
      <c r="H337" s="36"/>
      <c r="I337" s="36"/>
      <c r="J337" s="36"/>
      <c r="K337" s="36"/>
      <c r="L337" s="36"/>
      <c r="M337" s="36"/>
      <c r="N337" s="36"/>
      <c r="O337" s="10"/>
      <c r="P337" s="10"/>
      <c r="Q337" s="9"/>
      <c r="R337" s="9"/>
      <c r="S337" s="13"/>
      <c r="T337" s="35"/>
      <c r="U337" s="35"/>
      <c r="V337" s="35"/>
      <c r="W337" s="35"/>
      <c r="X337" s="9"/>
      <c r="Y337" s="35"/>
      <c r="Z337" s="9"/>
      <c r="AA337" s="9"/>
    </row>
    <row r="338" spans="1:27" s="61" customFormat="1" x14ac:dyDescent="0.25">
      <c r="A338" s="9"/>
      <c r="B338" s="10"/>
      <c r="C338" s="2"/>
      <c r="D338" s="12"/>
      <c r="E338" s="10"/>
      <c r="F338" s="11"/>
      <c r="G338" s="11"/>
      <c r="H338" s="36"/>
      <c r="I338" s="36"/>
      <c r="J338" s="36"/>
      <c r="K338" s="36"/>
      <c r="L338" s="36"/>
      <c r="M338" s="36"/>
      <c r="N338" s="36"/>
      <c r="O338" s="10"/>
      <c r="P338" s="10"/>
      <c r="Q338" s="9"/>
      <c r="R338" s="9"/>
      <c r="S338" s="13"/>
      <c r="T338" s="35"/>
      <c r="U338" s="35"/>
      <c r="V338" s="35"/>
      <c r="W338" s="35"/>
      <c r="X338" s="9"/>
      <c r="Y338" s="35"/>
      <c r="Z338" s="9"/>
      <c r="AA338" s="9"/>
    </row>
    <row r="339" spans="1:27" s="61" customFormat="1" x14ac:dyDescent="0.25">
      <c r="A339" s="9"/>
      <c r="B339" s="10"/>
      <c r="C339" s="2"/>
      <c r="D339" s="12"/>
      <c r="E339" s="10"/>
      <c r="F339" s="11"/>
      <c r="G339" s="11"/>
      <c r="H339" s="36"/>
      <c r="I339" s="36"/>
      <c r="J339" s="36"/>
      <c r="K339" s="36"/>
      <c r="L339" s="36"/>
      <c r="M339" s="36"/>
      <c r="N339" s="36"/>
      <c r="O339" s="10"/>
      <c r="P339" s="10"/>
      <c r="Q339" s="9"/>
      <c r="R339" s="9"/>
      <c r="S339" s="13"/>
      <c r="T339" s="35"/>
      <c r="U339" s="35"/>
      <c r="V339" s="35"/>
      <c r="W339" s="35"/>
      <c r="X339" s="9"/>
      <c r="Y339" s="35"/>
      <c r="Z339" s="9"/>
      <c r="AA339" s="9"/>
    </row>
    <row r="340" spans="1:27" s="61" customFormat="1" x14ac:dyDescent="0.25">
      <c r="A340" s="9"/>
      <c r="B340" s="10"/>
      <c r="C340" s="2"/>
      <c r="D340" s="12"/>
      <c r="E340" s="10"/>
      <c r="F340" s="11"/>
      <c r="G340" s="11"/>
      <c r="H340" s="36"/>
      <c r="I340" s="36"/>
      <c r="J340" s="36"/>
      <c r="K340" s="36"/>
      <c r="L340" s="36"/>
      <c r="M340" s="36"/>
      <c r="N340" s="36"/>
      <c r="O340" s="10"/>
      <c r="P340" s="10"/>
      <c r="Q340" s="9"/>
      <c r="R340" s="9"/>
      <c r="S340" s="13"/>
      <c r="T340" s="35"/>
      <c r="U340" s="35"/>
      <c r="V340" s="35"/>
      <c r="W340" s="35"/>
      <c r="X340" s="9"/>
      <c r="Y340" s="35"/>
      <c r="Z340" s="9"/>
      <c r="AA340" s="9"/>
    </row>
    <row r="341" spans="1:27" s="61" customFormat="1" x14ac:dyDescent="0.25">
      <c r="A341" s="9"/>
      <c r="B341" s="10"/>
      <c r="C341" s="2"/>
      <c r="D341" s="12"/>
      <c r="E341" s="10"/>
      <c r="F341" s="11"/>
      <c r="G341" s="11"/>
      <c r="H341" s="36"/>
      <c r="I341" s="36"/>
      <c r="J341" s="36"/>
      <c r="K341" s="36"/>
      <c r="L341" s="36"/>
      <c r="M341" s="36"/>
      <c r="N341" s="36"/>
      <c r="O341" s="10"/>
      <c r="P341" s="10"/>
      <c r="Q341" s="9"/>
      <c r="R341" s="9"/>
      <c r="S341" s="13"/>
      <c r="T341" s="35"/>
      <c r="U341" s="35"/>
      <c r="V341" s="35"/>
      <c r="W341" s="35"/>
      <c r="X341" s="9"/>
      <c r="Y341" s="35"/>
      <c r="Z341" s="9"/>
      <c r="AA341" s="9"/>
    </row>
    <row r="342" spans="1:27" s="61" customFormat="1" x14ac:dyDescent="0.25">
      <c r="A342" s="9"/>
      <c r="B342" s="10"/>
      <c r="C342" s="2"/>
      <c r="D342" s="12"/>
      <c r="E342" s="10"/>
      <c r="F342" s="11"/>
      <c r="G342" s="11"/>
      <c r="H342" s="36"/>
      <c r="I342" s="36"/>
      <c r="J342" s="36"/>
      <c r="K342" s="36"/>
      <c r="L342" s="36"/>
      <c r="M342" s="36"/>
      <c r="N342" s="36"/>
      <c r="O342" s="10"/>
      <c r="P342" s="10"/>
      <c r="Q342" s="9"/>
      <c r="R342" s="9"/>
      <c r="S342" s="13"/>
      <c r="T342" s="35"/>
      <c r="U342" s="35"/>
      <c r="V342" s="35"/>
      <c r="W342" s="35"/>
      <c r="X342" s="9"/>
      <c r="Y342" s="35"/>
      <c r="Z342" s="9"/>
      <c r="AA342" s="9"/>
    </row>
    <row r="343" spans="1:27" s="61" customFormat="1" x14ac:dyDescent="0.25">
      <c r="A343" s="9"/>
      <c r="B343" s="10"/>
      <c r="C343" s="2"/>
      <c r="D343" s="12"/>
      <c r="E343" s="10"/>
      <c r="F343" s="11"/>
      <c r="G343" s="11"/>
      <c r="H343" s="36"/>
      <c r="I343" s="36"/>
      <c r="J343" s="36"/>
      <c r="K343" s="36"/>
      <c r="L343" s="36"/>
      <c r="M343" s="36"/>
      <c r="N343" s="36"/>
      <c r="O343" s="10"/>
      <c r="P343" s="10"/>
      <c r="Q343" s="9"/>
      <c r="R343" s="9"/>
      <c r="S343" s="13"/>
      <c r="T343" s="35"/>
      <c r="U343" s="35"/>
      <c r="V343" s="35"/>
      <c r="W343" s="35"/>
      <c r="X343" s="9"/>
      <c r="Y343" s="35"/>
      <c r="Z343" s="9"/>
      <c r="AA343" s="9"/>
    </row>
    <row r="344" spans="1:27" s="61" customFormat="1" x14ac:dyDescent="0.25">
      <c r="A344" s="9"/>
      <c r="B344" s="10"/>
      <c r="C344" s="2"/>
      <c r="D344" s="12"/>
      <c r="E344" s="10"/>
      <c r="F344" s="11"/>
      <c r="G344" s="11"/>
      <c r="H344" s="36"/>
      <c r="I344" s="36"/>
      <c r="J344" s="36"/>
      <c r="K344" s="36"/>
      <c r="L344" s="36"/>
      <c r="M344" s="36"/>
      <c r="N344" s="36"/>
      <c r="O344" s="10"/>
      <c r="P344" s="10"/>
      <c r="Q344" s="9"/>
      <c r="R344" s="9"/>
      <c r="S344" s="13"/>
      <c r="T344" s="35"/>
      <c r="U344" s="35"/>
      <c r="V344" s="35"/>
      <c r="W344" s="35"/>
      <c r="X344" s="9"/>
      <c r="Y344" s="35"/>
      <c r="Z344" s="9"/>
      <c r="AA344" s="9"/>
    </row>
    <row r="345" spans="1:27" s="61" customFormat="1" x14ac:dyDescent="0.25">
      <c r="A345" s="9"/>
      <c r="B345" s="10"/>
      <c r="C345" s="2"/>
      <c r="D345" s="12"/>
      <c r="E345" s="10"/>
      <c r="F345" s="11"/>
      <c r="G345" s="11"/>
      <c r="H345" s="36"/>
      <c r="I345" s="36"/>
      <c r="J345" s="36"/>
      <c r="K345" s="36"/>
      <c r="L345" s="36"/>
      <c r="M345" s="36"/>
      <c r="N345" s="36"/>
      <c r="O345" s="10"/>
      <c r="P345" s="10"/>
      <c r="Q345" s="9"/>
      <c r="R345" s="9"/>
      <c r="S345" s="13"/>
      <c r="T345" s="35"/>
      <c r="U345" s="35"/>
      <c r="V345" s="35"/>
      <c r="W345" s="35"/>
      <c r="X345" s="9"/>
      <c r="Y345" s="35"/>
      <c r="Z345" s="9"/>
      <c r="AA345" s="9"/>
    </row>
    <row r="346" spans="1:27" s="61" customFormat="1" x14ac:dyDescent="0.25">
      <c r="A346" s="9"/>
      <c r="B346" s="10"/>
      <c r="C346" s="2"/>
      <c r="D346" s="12"/>
      <c r="E346" s="10"/>
      <c r="F346" s="11"/>
      <c r="G346" s="11"/>
      <c r="H346" s="36"/>
      <c r="I346" s="36"/>
      <c r="J346" s="36"/>
      <c r="K346" s="36"/>
      <c r="L346" s="36"/>
      <c r="M346" s="36"/>
      <c r="N346" s="36"/>
      <c r="O346" s="10"/>
      <c r="P346" s="10"/>
      <c r="Q346" s="9"/>
      <c r="R346" s="9"/>
      <c r="S346" s="13"/>
      <c r="T346" s="35"/>
      <c r="U346" s="35"/>
      <c r="V346" s="35"/>
      <c r="W346" s="35"/>
      <c r="X346" s="9"/>
      <c r="Y346" s="35"/>
      <c r="Z346" s="9"/>
      <c r="AA346" s="9"/>
    </row>
    <row r="347" spans="1:27" s="61" customFormat="1" x14ac:dyDescent="0.25">
      <c r="A347" s="9"/>
      <c r="B347" s="10"/>
      <c r="C347" s="2"/>
      <c r="D347" s="12"/>
      <c r="E347" s="10"/>
      <c r="F347" s="11"/>
      <c r="G347" s="11"/>
      <c r="H347" s="36"/>
      <c r="I347" s="36"/>
      <c r="J347" s="36"/>
      <c r="K347" s="36"/>
      <c r="L347" s="36"/>
      <c r="M347" s="36"/>
      <c r="N347" s="36"/>
      <c r="O347" s="10"/>
      <c r="P347" s="10"/>
      <c r="Q347" s="9"/>
      <c r="R347" s="9"/>
      <c r="S347" s="13"/>
      <c r="T347" s="35"/>
      <c r="U347" s="35"/>
      <c r="V347" s="35"/>
      <c r="W347" s="35"/>
      <c r="X347" s="9"/>
      <c r="Y347" s="35"/>
      <c r="Z347" s="9"/>
      <c r="AA347" s="9"/>
    </row>
    <row r="348" spans="1:27" s="61" customFormat="1" x14ac:dyDescent="0.25">
      <c r="A348" s="9"/>
      <c r="B348" s="10"/>
      <c r="C348" s="2"/>
      <c r="D348" s="12"/>
      <c r="E348" s="10"/>
      <c r="F348" s="11"/>
      <c r="G348" s="11"/>
      <c r="H348" s="36"/>
      <c r="I348" s="36"/>
      <c r="J348" s="36"/>
      <c r="K348" s="36"/>
      <c r="L348" s="36"/>
      <c r="M348" s="36"/>
      <c r="N348" s="36"/>
      <c r="O348" s="10"/>
      <c r="P348" s="10"/>
      <c r="Q348" s="9"/>
      <c r="R348" s="9"/>
      <c r="S348" s="13"/>
      <c r="T348" s="35"/>
      <c r="U348" s="35"/>
      <c r="V348" s="35"/>
      <c r="W348" s="35"/>
      <c r="X348" s="9"/>
      <c r="Y348" s="35"/>
      <c r="Z348" s="9"/>
      <c r="AA348" s="9"/>
    </row>
    <row r="349" spans="1:27" s="61" customFormat="1" x14ac:dyDescent="0.25">
      <c r="A349" s="9"/>
      <c r="B349" s="10"/>
      <c r="C349" s="2"/>
      <c r="D349" s="12"/>
      <c r="E349" s="10"/>
      <c r="F349" s="11"/>
      <c r="G349" s="11"/>
      <c r="H349" s="36"/>
      <c r="I349" s="36"/>
      <c r="J349" s="36"/>
      <c r="K349" s="36"/>
      <c r="L349" s="36"/>
      <c r="M349" s="36"/>
      <c r="N349" s="36"/>
      <c r="O349" s="10"/>
      <c r="P349" s="10"/>
      <c r="Q349" s="9"/>
      <c r="R349" s="9"/>
      <c r="S349" s="13"/>
      <c r="T349" s="35"/>
      <c r="U349" s="35"/>
      <c r="V349" s="35"/>
      <c r="W349" s="35"/>
      <c r="X349" s="9"/>
      <c r="Y349" s="35"/>
      <c r="Z349" s="9"/>
      <c r="AA349" s="9"/>
    </row>
    <row r="350" spans="1:27" s="61" customFormat="1" x14ac:dyDescent="0.25">
      <c r="A350" s="9"/>
      <c r="B350" s="10"/>
      <c r="C350" s="2"/>
      <c r="D350" s="12"/>
      <c r="E350" s="10"/>
      <c r="F350" s="11"/>
      <c r="G350" s="11"/>
      <c r="H350" s="36"/>
      <c r="I350" s="36"/>
      <c r="J350" s="36"/>
      <c r="K350" s="36"/>
      <c r="L350" s="36"/>
      <c r="M350" s="36"/>
      <c r="N350" s="36"/>
      <c r="O350" s="10"/>
      <c r="P350" s="10"/>
      <c r="Q350" s="9"/>
      <c r="R350" s="9"/>
      <c r="S350" s="13"/>
      <c r="T350" s="35"/>
      <c r="U350" s="35"/>
      <c r="V350" s="35"/>
      <c r="W350" s="35"/>
      <c r="X350" s="9"/>
      <c r="Y350" s="35"/>
      <c r="Z350" s="9"/>
      <c r="AA350" s="9"/>
    </row>
    <row r="351" spans="1:27" s="61" customFormat="1" x14ac:dyDescent="0.25">
      <c r="A351" s="9"/>
      <c r="B351" s="10"/>
      <c r="C351" s="2"/>
      <c r="D351" s="12"/>
      <c r="E351" s="10"/>
      <c r="F351" s="11"/>
      <c r="G351" s="11"/>
      <c r="H351" s="36"/>
      <c r="I351" s="36"/>
      <c r="J351" s="36"/>
      <c r="K351" s="36"/>
      <c r="L351" s="36"/>
      <c r="M351" s="36"/>
      <c r="N351" s="36"/>
      <c r="O351" s="10"/>
      <c r="P351" s="10"/>
      <c r="Q351" s="9"/>
      <c r="R351" s="9"/>
      <c r="S351" s="13"/>
      <c r="T351" s="35"/>
      <c r="U351" s="35"/>
      <c r="V351" s="35"/>
      <c r="W351" s="35"/>
      <c r="X351" s="9"/>
      <c r="Y351" s="35"/>
      <c r="Z351" s="9"/>
      <c r="AA351" s="9"/>
    </row>
    <row r="352" spans="1:27" s="61" customFormat="1" x14ac:dyDescent="0.25">
      <c r="A352" s="9"/>
      <c r="B352" s="10"/>
      <c r="C352" s="2"/>
      <c r="D352" s="12"/>
      <c r="E352" s="10"/>
      <c r="F352" s="11"/>
      <c r="G352" s="11"/>
      <c r="H352" s="36"/>
      <c r="I352" s="36"/>
      <c r="J352" s="36"/>
      <c r="K352" s="36"/>
      <c r="L352" s="36"/>
      <c r="M352" s="36"/>
      <c r="N352" s="36"/>
      <c r="O352" s="10"/>
      <c r="P352" s="10"/>
      <c r="Q352" s="9"/>
      <c r="R352" s="9"/>
      <c r="S352" s="13"/>
      <c r="T352" s="35"/>
      <c r="U352" s="35"/>
      <c r="V352" s="35"/>
      <c r="W352" s="35"/>
      <c r="X352" s="9"/>
      <c r="Y352" s="35"/>
      <c r="Z352" s="9"/>
      <c r="AA352" s="9"/>
    </row>
    <row r="353" spans="1:27" s="61" customFormat="1" x14ac:dyDescent="0.25">
      <c r="A353" s="9"/>
      <c r="B353" s="10"/>
      <c r="C353" s="2"/>
      <c r="D353" s="12"/>
      <c r="E353" s="10"/>
      <c r="F353" s="11"/>
      <c r="G353" s="11"/>
      <c r="H353" s="36"/>
      <c r="I353" s="36"/>
      <c r="J353" s="36"/>
      <c r="K353" s="36"/>
      <c r="L353" s="36"/>
      <c r="M353" s="36"/>
      <c r="N353" s="36"/>
      <c r="O353" s="10"/>
      <c r="P353" s="10"/>
      <c r="Q353" s="9"/>
      <c r="R353" s="9"/>
      <c r="S353" s="13"/>
      <c r="T353" s="35"/>
      <c r="U353" s="35"/>
      <c r="V353" s="35"/>
      <c r="W353" s="35"/>
      <c r="X353" s="9"/>
      <c r="Y353" s="35"/>
      <c r="Z353" s="9"/>
      <c r="AA353" s="9"/>
    </row>
    <row r="354" spans="1:27" s="103" customFormat="1" ht="15.75" customHeight="1" x14ac:dyDescent="0.25">
      <c r="A354" s="9"/>
      <c r="B354" s="10"/>
      <c r="C354" s="2"/>
      <c r="D354" s="12"/>
      <c r="E354" s="10"/>
      <c r="F354" s="11"/>
      <c r="G354" s="11"/>
      <c r="H354" s="36"/>
      <c r="I354" s="36"/>
      <c r="J354" s="36"/>
      <c r="K354" s="36"/>
      <c r="L354" s="36"/>
      <c r="M354" s="36"/>
      <c r="N354" s="36"/>
      <c r="O354" s="10"/>
      <c r="P354" s="10"/>
      <c r="Q354" s="9"/>
      <c r="R354" s="9"/>
      <c r="S354" s="13"/>
      <c r="T354" s="35"/>
      <c r="U354" s="35"/>
      <c r="V354" s="35"/>
      <c r="W354" s="35"/>
      <c r="X354" s="9"/>
      <c r="Y354" s="35"/>
      <c r="Z354" s="9"/>
      <c r="AA354" s="9"/>
    </row>
    <row r="355" spans="1:27" s="103" customFormat="1" ht="15.75" customHeight="1" x14ac:dyDescent="0.25">
      <c r="A355" s="9"/>
      <c r="B355" s="10"/>
      <c r="C355" s="2"/>
      <c r="D355" s="12"/>
      <c r="E355" s="10"/>
      <c r="F355" s="11"/>
      <c r="G355" s="11"/>
      <c r="H355" s="36"/>
      <c r="I355" s="36"/>
      <c r="J355" s="36"/>
      <c r="K355" s="36"/>
      <c r="L355" s="36"/>
      <c r="M355" s="36"/>
      <c r="N355" s="36"/>
      <c r="O355" s="10"/>
      <c r="P355" s="10"/>
      <c r="Q355" s="9"/>
      <c r="R355" s="9"/>
      <c r="S355" s="13"/>
      <c r="T355" s="35"/>
      <c r="U355" s="35"/>
      <c r="V355" s="35"/>
      <c r="W355" s="35"/>
      <c r="X355" s="9"/>
      <c r="Y355" s="35"/>
      <c r="Z355" s="9"/>
      <c r="AA355" s="9"/>
    </row>
    <row r="356" spans="1:27" s="103" customFormat="1" ht="15.75" customHeight="1" x14ac:dyDescent="0.25">
      <c r="A356" s="9"/>
      <c r="B356" s="10"/>
      <c r="C356" s="2"/>
      <c r="D356" s="12"/>
      <c r="E356" s="10"/>
      <c r="F356" s="11"/>
      <c r="G356" s="11"/>
      <c r="H356" s="36"/>
      <c r="I356" s="36"/>
      <c r="J356" s="36"/>
      <c r="K356" s="36"/>
      <c r="L356" s="36"/>
      <c r="M356" s="36"/>
      <c r="N356" s="36"/>
      <c r="O356" s="10"/>
      <c r="P356" s="10"/>
      <c r="Q356" s="9"/>
      <c r="R356" s="9"/>
      <c r="S356" s="13"/>
      <c r="T356" s="35"/>
      <c r="U356" s="35"/>
      <c r="V356" s="35"/>
      <c r="W356" s="35"/>
      <c r="X356" s="9"/>
      <c r="Y356" s="35"/>
      <c r="Z356" s="9"/>
      <c r="AA356" s="9"/>
    </row>
    <row r="357" spans="1:27" s="103" customFormat="1" ht="15.75" customHeight="1" x14ac:dyDescent="0.25">
      <c r="A357" s="9"/>
      <c r="B357" s="10"/>
      <c r="C357" s="2"/>
      <c r="D357" s="12"/>
      <c r="E357" s="10"/>
      <c r="F357" s="11"/>
      <c r="G357" s="11"/>
      <c r="H357" s="36"/>
      <c r="I357" s="36"/>
      <c r="J357" s="36"/>
      <c r="K357" s="36"/>
      <c r="L357" s="36"/>
      <c r="M357" s="36"/>
      <c r="N357" s="36"/>
      <c r="O357" s="10"/>
      <c r="P357" s="10"/>
      <c r="Q357" s="9"/>
      <c r="R357" s="9"/>
      <c r="S357" s="13"/>
      <c r="T357" s="35"/>
      <c r="U357" s="35"/>
      <c r="V357" s="35"/>
      <c r="W357" s="35"/>
      <c r="X357" s="9"/>
      <c r="Y357" s="35"/>
      <c r="Z357" s="9"/>
      <c r="AA357" s="9"/>
    </row>
    <row r="358" spans="1:27" s="103" customFormat="1" ht="15.75" customHeight="1" x14ac:dyDescent="0.25">
      <c r="A358" s="9"/>
      <c r="B358" s="10"/>
      <c r="C358" s="2"/>
      <c r="D358" s="12"/>
      <c r="E358" s="10"/>
      <c r="F358" s="11"/>
      <c r="G358" s="11"/>
      <c r="H358" s="36"/>
      <c r="I358" s="36"/>
      <c r="J358" s="36"/>
      <c r="K358" s="36"/>
      <c r="L358" s="36"/>
      <c r="M358" s="36"/>
      <c r="N358" s="36"/>
      <c r="O358" s="10"/>
      <c r="P358" s="10"/>
      <c r="Q358" s="9"/>
      <c r="R358" s="9"/>
      <c r="S358" s="13"/>
      <c r="T358" s="35"/>
      <c r="U358" s="35"/>
      <c r="V358" s="35"/>
      <c r="W358" s="35"/>
      <c r="X358" s="9"/>
      <c r="Y358" s="35"/>
      <c r="Z358" s="9"/>
      <c r="AA358" s="9"/>
    </row>
    <row r="359" spans="1:27" s="103" customFormat="1" ht="15.75" customHeight="1" x14ac:dyDescent="0.25">
      <c r="A359" s="9"/>
      <c r="B359" s="10"/>
      <c r="C359" s="2"/>
      <c r="D359" s="12"/>
      <c r="E359" s="10"/>
      <c r="F359" s="11"/>
      <c r="G359" s="11"/>
      <c r="H359" s="36"/>
      <c r="I359" s="36"/>
      <c r="J359" s="36"/>
      <c r="K359" s="36"/>
      <c r="L359" s="36"/>
      <c r="M359" s="36"/>
      <c r="N359" s="36"/>
      <c r="O359" s="10"/>
      <c r="P359" s="10"/>
      <c r="Q359" s="9"/>
      <c r="R359" s="9"/>
      <c r="S359" s="13"/>
      <c r="T359" s="35"/>
      <c r="U359" s="35"/>
      <c r="V359" s="35"/>
      <c r="W359" s="35"/>
      <c r="X359" s="9"/>
      <c r="Y359" s="35"/>
      <c r="Z359" s="9"/>
      <c r="AA359" s="9"/>
    </row>
    <row r="360" spans="1:27" s="103" customFormat="1" ht="15.75" customHeight="1" x14ac:dyDescent="0.25">
      <c r="A360" s="9"/>
      <c r="B360" s="10"/>
      <c r="C360" s="2"/>
      <c r="D360" s="12"/>
      <c r="E360" s="10"/>
      <c r="F360" s="11"/>
      <c r="G360" s="11"/>
      <c r="H360" s="36"/>
      <c r="I360" s="36"/>
      <c r="J360" s="36"/>
      <c r="K360" s="36"/>
      <c r="L360" s="36"/>
      <c r="M360" s="36"/>
      <c r="N360" s="36"/>
      <c r="O360" s="10"/>
      <c r="P360" s="10"/>
      <c r="Q360" s="9"/>
      <c r="R360" s="9"/>
      <c r="S360" s="13"/>
      <c r="T360" s="35"/>
      <c r="U360" s="35"/>
      <c r="V360" s="35"/>
      <c r="W360" s="35"/>
      <c r="X360" s="9"/>
      <c r="Y360" s="35"/>
      <c r="Z360" s="9"/>
      <c r="AA360" s="9"/>
    </row>
    <row r="361" spans="1:27" s="103" customFormat="1" ht="15.75" customHeight="1" x14ac:dyDescent="0.25">
      <c r="A361" s="9"/>
      <c r="B361" s="10"/>
      <c r="C361" s="2"/>
      <c r="D361" s="12"/>
      <c r="E361" s="10"/>
      <c r="F361" s="11"/>
      <c r="G361" s="11"/>
      <c r="H361" s="36"/>
      <c r="I361" s="36"/>
      <c r="J361" s="36"/>
      <c r="K361" s="36"/>
      <c r="L361" s="36"/>
      <c r="M361" s="36"/>
      <c r="N361" s="36"/>
      <c r="O361" s="10"/>
      <c r="P361" s="10"/>
      <c r="Q361" s="9"/>
      <c r="R361" s="9"/>
      <c r="S361" s="13"/>
      <c r="T361" s="35"/>
      <c r="U361" s="35"/>
      <c r="V361" s="35"/>
      <c r="W361" s="35"/>
      <c r="X361" s="9"/>
      <c r="Y361" s="35"/>
      <c r="Z361" s="9"/>
      <c r="AA361" s="9"/>
    </row>
    <row r="362" spans="1:27" s="103" customFormat="1" ht="15.75" customHeight="1" x14ac:dyDescent="0.25">
      <c r="A362" s="9"/>
      <c r="B362" s="10"/>
      <c r="C362" s="2"/>
      <c r="D362" s="12"/>
      <c r="E362" s="10"/>
      <c r="F362" s="11"/>
      <c r="G362" s="11"/>
      <c r="H362" s="36"/>
      <c r="I362" s="36"/>
      <c r="J362" s="36"/>
      <c r="K362" s="36"/>
      <c r="L362" s="36"/>
      <c r="M362" s="36"/>
      <c r="N362" s="36"/>
      <c r="O362" s="10"/>
      <c r="P362" s="10"/>
      <c r="Q362" s="9"/>
      <c r="R362" s="9"/>
      <c r="S362" s="13"/>
      <c r="T362" s="35"/>
      <c r="U362" s="35"/>
      <c r="V362" s="35"/>
      <c r="W362" s="35"/>
      <c r="X362" s="9"/>
      <c r="Y362" s="35"/>
      <c r="Z362" s="9"/>
      <c r="AA362" s="9"/>
    </row>
    <row r="363" spans="1:27" s="103" customFormat="1" ht="15.75" customHeight="1" x14ac:dyDescent="0.25">
      <c r="A363" s="9"/>
      <c r="B363" s="10"/>
      <c r="C363" s="2"/>
      <c r="D363" s="12"/>
      <c r="E363" s="10"/>
      <c r="F363" s="11"/>
      <c r="G363" s="11"/>
      <c r="H363" s="36"/>
      <c r="I363" s="36"/>
      <c r="J363" s="36"/>
      <c r="K363" s="36"/>
      <c r="L363" s="36"/>
      <c r="M363" s="36"/>
      <c r="N363" s="36"/>
      <c r="O363" s="10"/>
      <c r="P363" s="10"/>
      <c r="Q363" s="9"/>
      <c r="R363" s="9"/>
      <c r="S363" s="13"/>
      <c r="T363" s="35"/>
      <c r="U363" s="35"/>
      <c r="V363" s="35"/>
      <c r="W363" s="35"/>
      <c r="X363" s="9"/>
      <c r="Y363" s="35"/>
      <c r="Z363" s="9"/>
      <c r="AA363" s="9"/>
    </row>
    <row r="364" spans="1:27" s="103" customFormat="1" ht="15.75" customHeight="1" x14ac:dyDescent="0.25">
      <c r="A364" s="9"/>
      <c r="B364" s="10"/>
      <c r="C364" s="2"/>
      <c r="D364" s="12"/>
      <c r="E364" s="10"/>
      <c r="F364" s="11"/>
      <c r="G364" s="11"/>
      <c r="H364" s="36"/>
      <c r="I364" s="36"/>
      <c r="J364" s="36"/>
      <c r="K364" s="36"/>
      <c r="L364" s="36"/>
      <c r="M364" s="36"/>
      <c r="N364" s="36"/>
      <c r="O364" s="10"/>
      <c r="P364" s="10"/>
      <c r="Q364" s="9"/>
      <c r="R364" s="9"/>
      <c r="S364" s="13"/>
      <c r="T364" s="35"/>
      <c r="U364" s="35"/>
      <c r="V364" s="35"/>
      <c r="W364" s="35"/>
      <c r="X364" s="9"/>
      <c r="Y364" s="35"/>
      <c r="Z364" s="9"/>
      <c r="AA364" s="9"/>
    </row>
    <row r="365" spans="1:27" s="103" customFormat="1" ht="15.75" customHeight="1" x14ac:dyDescent="0.25">
      <c r="A365" s="9"/>
      <c r="B365" s="10"/>
      <c r="C365" s="2"/>
      <c r="D365" s="12"/>
      <c r="E365" s="10"/>
      <c r="F365" s="11"/>
      <c r="G365" s="11"/>
      <c r="H365" s="36"/>
      <c r="I365" s="36"/>
      <c r="J365" s="36"/>
      <c r="K365" s="36"/>
      <c r="L365" s="36"/>
      <c r="M365" s="36"/>
      <c r="N365" s="36"/>
      <c r="O365" s="10"/>
      <c r="P365" s="10"/>
      <c r="Q365" s="9"/>
      <c r="R365" s="9"/>
      <c r="S365" s="13"/>
      <c r="T365" s="35"/>
      <c r="U365" s="35"/>
      <c r="V365" s="35"/>
      <c r="W365" s="35"/>
      <c r="X365" s="9"/>
      <c r="Y365" s="35"/>
      <c r="Z365" s="9"/>
      <c r="AA365" s="9"/>
    </row>
    <row r="366" spans="1:27" s="103" customFormat="1" ht="15.75" customHeight="1" x14ac:dyDescent="0.25">
      <c r="A366" s="9"/>
      <c r="B366" s="10"/>
      <c r="C366" s="2"/>
      <c r="D366" s="12"/>
      <c r="E366" s="10"/>
      <c r="F366" s="11"/>
      <c r="G366" s="11"/>
      <c r="H366" s="36"/>
      <c r="I366" s="36"/>
      <c r="J366" s="36"/>
      <c r="K366" s="36"/>
      <c r="L366" s="36"/>
      <c r="M366" s="36"/>
      <c r="N366" s="36"/>
      <c r="O366" s="10"/>
      <c r="P366" s="10"/>
      <c r="Q366" s="9"/>
      <c r="R366" s="9"/>
      <c r="S366" s="13"/>
      <c r="T366" s="35"/>
      <c r="U366" s="35"/>
      <c r="V366" s="35"/>
      <c r="W366" s="35"/>
      <c r="X366" s="9"/>
      <c r="Y366" s="35"/>
      <c r="Z366" s="9"/>
      <c r="AA366" s="9"/>
    </row>
    <row r="367" spans="1:27" s="103" customFormat="1" ht="15.75" customHeight="1" x14ac:dyDescent="0.25">
      <c r="A367" s="9"/>
      <c r="B367" s="10"/>
      <c r="C367" s="2"/>
      <c r="D367" s="12"/>
      <c r="E367" s="10"/>
      <c r="F367" s="11"/>
      <c r="G367" s="11"/>
      <c r="H367" s="36"/>
      <c r="I367" s="36"/>
      <c r="J367" s="36"/>
      <c r="K367" s="36"/>
      <c r="L367" s="36"/>
      <c r="M367" s="36"/>
      <c r="N367" s="36"/>
      <c r="O367" s="10"/>
      <c r="P367" s="10"/>
      <c r="Q367" s="9"/>
      <c r="R367" s="9"/>
      <c r="S367" s="13"/>
      <c r="T367" s="35"/>
      <c r="U367" s="35"/>
      <c r="V367" s="35"/>
      <c r="W367" s="35"/>
      <c r="X367" s="9"/>
      <c r="Y367" s="35"/>
      <c r="Z367" s="9"/>
      <c r="AA367" s="9"/>
    </row>
    <row r="368" spans="1:27" s="103" customFormat="1" ht="15.75" customHeight="1" x14ac:dyDescent="0.25">
      <c r="A368" s="9"/>
      <c r="B368" s="10"/>
      <c r="C368" s="2"/>
      <c r="D368" s="12"/>
      <c r="E368" s="10"/>
      <c r="F368" s="11"/>
      <c r="G368" s="11"/>
      <c r="H368" s="36"/>
      <c r="I368" s="36"/>
      <c r="J368" s="36"/>
      <c r="K368" s="36"/>
      <c r="L368" s="36"/>
      <c r="M368" s="36"/>
      <c r="N368" s="36"/>
      <c r="O368" s="10"/>
      <c r="P368" s="10"/>
      <c r="Q368" s="9"/>
      <c r="R368" s="9"/>
      <c r="S368" s="13"/>
      <c r="T368" s="35"/>
      <c r="U368" s="35"/>
      <c r="V368" s="35"/>
      <c r="W368" s="35"/>
      <c r="X368" s="9"/>
      <c r="Y368" s="35"/>
      <c r="Z368" s="9"/>
      <c r="AA368" s="9"/>
    </row>
    <row r="369" spans="1:27" s="97" customFormat="1" x14ac:dyDescent="0.25">
      <c r="A369" s="9"/>
      <c r="B369" s="10"/>
      <c r="C369" s="2"/>
      <c r="D369" s="12"/>
      <c r="E369" s="10"/>
      <c r="F369" s="11"/>
      <c r="G369" s="11"/>
      <c r="H369" s="36"/>
      <c r="I369" s="36"/>
      <c r="J369" s="36"/>
      <c r="K369" s="36"/>
      <c r="L369" s="36"/>
      <c r="M369" s="36"/>
      <c r="N369" s="36"/>
      <c r="O369" s="10"/>
      <c r="P369" s="10"/>
      <c r="Q369" s="9"/>
      <c r="R369" s="9"/>
      <c r="S369" s="13"/>
      <c r="T369" s="35"/>
      <c r="U369" s="35"/>
      <c r="V369" s="35"/>
      <c r="W369" s="35"/>
      <c r="X369" s="9"/>
      <c r="Y369" s="35"/>
      <c r="Z369" s="9"/>
      <c r="AA369" s="9"/>
    </row>
    <row r="370" spans="1:27" s="61" customFormat="1" x14ac:dyDescent="0.25">
      <c r="A370" s="9"/>
      <c r="B370" s="10"/>
      <c r="C370" s="2"/>
      <c r="D370" s="12"/>
      <c r="E370" s="10"/>
      <c r="F370" s="11"/>
      <c r="G370" s="11"/>
      <c r="H370" s="36"/>
      <c r="I370" s="36"/>
      <c r="J370" s="36"/>
      <c r="K370" s="36"/>
      <c r="L370" s="36"/>
      <c r="M370" s="36"/>
      <c r="N370" s="36"/>
      <c r="O370" s="10"/>
      <c r="P370" s="10"/>
      <c r="Q370" s="9"/>
      <c r="R370" s="9"/>
      <c r="S370" s="13"/>
      <c r="T370" s="35"/>
      <c r="U370" s="35"/>
      <c r="V370" s="35"/>
      <c r="W370" s="35"/>
      <c r="X370" s="9"/>
      <c r="Y370" s="35"/>
      <c r="Z370" s="9"/>
      <c r="AA370" s="9"/>
    </row>
    <row r="371" spans="1:27" s="61" customFormat="1" x14ac:dyDescent="0.25">
      <c r="A371" s="9"/>
      <c r="B371" s="10"/>
      <c r="C371" s="2"/>
      <c r="D371" s="12"/>
      <c r="E371" s="10"/>
      <c r="F371" s="11"/>
      <c r="G371" s="11"/>
      <c r="H371" s="36"/>
      <c r="I371" s="36"/>
      <c r="J371" s="36"/>
      <c r="K371" s="36"/>
      <c r="L371" s="36"/>
      <c r="M371" s="36"/>
      <c r="N371" s="36"/>
      <c r="O371" s="10"/>
      <c r="P371" s="10"/>
      <c r="Q371" s="9"/>
      <c r="R371" s="9"/>
      <c r="S371" s="13"/>
      <c r="T371" s="35"/>
      <c r="U371" s="35"/>
      <c r="V371" s="35"/>
      <c r="W371" s="35"/>
      <c r="X371" s="9"/>
      <c r="Y371" s="35"/>
      <c r="Z371" s="9"/>
      <c r="AA371" s="9"/>
    </row>
    <row r="372" spans="1:27" s="61" customFormat="1" x14ac:dyDescent="0.25">
      <c r="A372" s="9"/>
      <c r="B372" s="10"/>
      <c r="C372" s="2"/>
      <c r="D372" s="12"/>
      <c r="E372" s="10"/>
      <c r="F372" s="11"/>
      <c r="G372" s="11"/>
      <c r="H372" s="36"/>
      <c r="I372" s="36"/>
      <c r="J372" s="36"/>
      <c r="K372" s="36"/>
      <c r="L372" s="36"/>
      <c r="M372" s="36"/>
      <c r="N372" s="36"/>
      <c r="O372" s="10"/>
      <c r="P372" s="10"/>
      <c r="Q372" s="9"/>
      <c r="R372" s="9"/>
      <c r="S372" s="13"/>
      <c r="T372" s="35"/>
      <c r="U372" s="35"/>
      <c r="V372" s="35"/>
      <c r="W372" s="35"/>
      <c r="X372" s="9"/>
      <c r="Y372" s="35"/>
      <c r="Z372" s="9"/>
      <c r="AA372" s="9"/>
    </row>
    <row r="373" spans="1:27" s="61" customFormat="1" x14ac:dyDescent="0.25">
      <c r="A373" s="9"/>
      <c r="B373" s="10"/>
      <c r="C373" s="2"/>
      <c r="D373" s="12"/>
      <c r="E373" s="10"/>
      <c r="F373" s="11"/>
      <c r="G373" s="11"/>
      <c r="H373" s="36"/>
      <c r="I373" s="36"/>
      <c r="J373" s="36"/>
      <c r="K373" s="36"/>
      <c r="L373" s="36"/>
      <c r="M373" s="36"/>
      <c r="N373" s="36"/>
      <c r="O373" s="10"/>
      <c r="P373" s="10"/>
      <c r="Q373" s="9"/>
      <c r="R373" s="9"/>
      <c r="S373" s="13"/>
      <c r="T373" s="35"/>
      <c r="U373" s="35"/>
      <c r="V373" s="35"/>
      <c r="W373" s="35"/>
      <c r="X373" s="9"/>
      <c r="Y373" s="35"/>
      <c r="Z373" s="9"/>
      <c r="AA373" s="9"/>
    </row>
    <row r="374" spans="1:27" s="61" customFormat="1" x14ac:dyDescent="0.25">
      <c r="A374" s="9"/>
      <c r="B374" s="10"/>
      <c r="C374" s="2"/>
      <c r="D374" s="12"/>
      <c r="E374" s="10"/>
      <c r="F374" s="11"/>
      <c r="G374" s="11"/>
      <c r="H374" s="36"/>
      <c r="I374" s="36"/>
      <c r="J374" s="36"/>
      <c r="K374" s="36"/>
      <c r="L374" s="36"/>
      <c r="M374" s="36"/>
      <c r="N374" s="36"/>
      <c r="O374" s="10"/>
      <c r="P374" s="10"/>
      <c r="Q374" s="9"/>
      <c r="R374" s="9"/>
      <c r="S374" s="13"/>
      <c r="T374" s="35"/>
      <c r="U374" s="35"/>
      <c r="V374" s="35"/>
      <c r="W374" s="35"/>
      <c r="X374" s="9"/>
      <c r="Y374" s="35"/>
      <c r="Z374" s="9"/>
      <c r="AA374" s="9"/>
    </row>
    <row r="375" spans="1:27" s="61" customFormat="1" x14ac:dyDescent="0.25">
      <c r="A375" s="9"/>
      <c r="B375" s="10"/>
      <c r="C375" s="2"/>
      <c r="D375" s="12"/>
      <c r="E375" s="10"/>
      <c r="F375" s="11"/>
      <c r="G375" s="11"/>
      <c r="H375" s="36"/>
      <c r="I375" s="36"/>
      <c r="J375" s="36"/>
      <c r="K375" s="36"/>
      <c r="L375" s="36"/>
      <c r="M375" s="36"/>
      <c r="N375" s="36"/>
      <c r="O375" s="10"/>
      <c r="P375" s="10"/>
      <c r="Q375" s="9"/>
      <c r="R375" s="9"/>
      <c r="S375" s="13"/>
      <c r="T375" s="35"/>
      <c r="U375" s="35"/>
      <c r="V375" s="35"/>
      <c r="W375" s="35"/>
      <c r="X375" s="9"/>
      <c r="Y375" s="35"/>
      <c r="Z375" s="9"/>
      <c r="AA375" s="9"/>
    </row>
    <row r="376" spans="1:27" s="61" customFormat="1" x14ac:dyDescent="0.25">
      <c r="A376" s="9"/>
      <c r="B376" s="10"/>
      <c r="C376" s="2"/>
      <c r="D376" s="12"/>
      <c r="E376" s="10"/>
      <c r="F376" s="11"/>
      <c r="G376" s="11"/>
      <c r="H376" s="36"/>
      <c r="I376" s="36"/>
      <c r="J376" s="36"/>
      <c r="K376" s="36"/>
      <c r="L376" s="36"/>
      <c r="M376" s="36"/>
      <c r="N376" s="36"/>
      <c r="O376" s="10"/>
      <c r="P376" s="10"/>
      <c r="Q376" s="9"/>
      <c r="R376" s="9"/>
      <c r="S376" s="13"/>
      <c r="T376" s="35"/>
      <c r="U376" s="35"/>
      <c r="V376" s="35"/>
      <c r="W376" s="35"/>
      <c r="X376" s="9"/>
      <c r="Y376" s="35"/>
      <c r="Z376" s="9"/>
      <c r="AA376" s="9"/>
    </row>
    <row r="377" spans="1:27" s="61" customFormat="1" x14ac:dyDescent="0.25">
      <c r="A377" s="9"/>
      <c r="B377" s="10"/>
      <c r="C377" s="2"/>
      <c r="D377" s="12"/>
      <c r="E377" s="10"/>
      <c r="F377" s="11"/>
      <c r="G377" s="11"/>
      <c r="H377" s="36"/>
      <c r="I377" s="36"/>
      <c r="J377" s="36"/>
      <c r="K377" s="36"/>
      <c r="L377" s="36"/>
      <c r="M377" s="36"/>
      <c r="N377" s="36"/>
      <c r="O377" s="10"/>
      <c r="P377" s="10"/>
      <c r="Q377" s="9"/>
      <c r="R377" s="9"/>
      <c r="S377" s="13"/>
      <c r="T377" s="35"/>
      <c r="U377" s="35"/>
      <c r="V377" s="35"/>
      <c r="W377" s="35"/>
      <c r="X377" s="9"/>
      <c r="Y377" s="35"/>
      <c r="Z377" s="9"/>
      <c r="AA377" s="9"/>
    </row>
    <row r="378" spans="1:27" s="61" customFormat="1" x14ac:dyDescent="0.25">
      <c r="A378" s="9"/>
      <c r="B378" s="10"/>
      <c r="C378" s="2"/>
      <c r="D378" s="12"/>
      <c r="E378" s="10"/>
      <c r="F378" s="11"/>
      <c r="G378" s="11"/>
      <c r="H378" s="36"/>
      <c r="I378" s="36"/>
      <c r="J378" s="36"/>
      <c r="K378" s="36"/>
      <c r="L378" s="36"/>
      <c r="M378" s="36"/>
      <c r="N378" s="36"/>
      <c r="O378" s="10"/>
      <c r="P378" s="10"/>
      <c r="Q378" s="9"/>
      <c r="R378" s="9"/>
      <c r="S378" s="13"/>
      <c r="T378" s="35"/>
      <c r="U378" s="35"/>
      <c r="V378" s="35"/>
      <c r="W378" s="35"/>
      <c r="X378" s="9"/>
      <c r="Y378" s="35"/>
      <c r="Z378" s="9"/>
      <c r="AA378" s="9"/>
    </row>
    <row r="379" spans="1:27" s="61" customFormat="1" x14ac:dyDescent="0.25">
      <c r="A379" s="9"/>
      <c r="B379" s="10"/>
      <c r="C379" s="2"/>
      <c r="D379" s="12"/>
      <c r="E379" s="10"/>
      <c r="F379" s="11"/>
      <c r="G379" s="11"/>
      <c r="H379" s="36"/>
      <c r="I379" s="36"/>
      <c r="J379" s="36"/>
      <c r="K379" s="36"/>
      <c r="L379" s="36"/>
      <c r="M379" s="36"/>
      <c r="N379" s="36"/>
      <c r="O379" s="10"/>
      <c r="P379" s="10"/>
      <c r="Q379" s="9"/>
      <c r="R379" s="9"/>
      <c r="S379" s="13"/>
      <c r="T379" s="35"/>
      <c r="U379" s="35"/>
      <c r="V379" s="35"/>
      <c r="W379" s="35"/>
      <c r="X379" s="9"/>
      <c r="Y379" s="35"/>
      <c r="Z379" s="9"/>
      <c r="AA379" s="9"/>
    </row>
    <row r="380" spans="1:27" s="61" customFormat="1" x14ac:dyDescent="0.25">
      <c r="A380" s="9"/>
      <c r="B380" s="10"/>
      <c r="C380" s="2"/>
      <c r="D380" s="12"/>
      <c r="E380" s="10"/>
      <c r="F380" s="11"/>
      <c r="G380" s="11"/>
      <c r="H380" s="36"/>
      <c r="I380" s="36"/>
      <c r="J380" s="36"/>
      <c r="K380" s="36"/>
      <c r="L380" s="36"/>
      <c r="M380" s="36"/>
      <c r="N380" s="36"/>
      <c r="O380" s="10"/>
      <c r="P380" s="10"/>
      <c r="Q380" s="9"/>
      <c r="R380" s="9"/>
      <c r="S380" s="13"/>
      <c r="T380" s="35"/>
      <c r="U380" s="35"/>
      <c r="V380" s="35"/>
      <c r="W380" s="35"/>
      <c r="X380" s="9"/>
      <c r="Y380" s="35"/>
      <c r="Z380" s="9"/>
      <c r="AA380" s="9"/>
    </row>
    <row r="381" spans="1:27" s="61" customFormat="1" x14ac:dyDescent="0.25">
      <c r="A381" s="9"/>
      <c r="B381" s="10"/>
      <c r="C381" s="2"/>
      <c r="D381" s="12"/>
      <c r="E381" s="10"/>
      <c r="F381" s="11"/>
      <c r="G381" s="11"/>
      <c r="H381" s="36"/>
      <c r="I381" s="36"/>
      <c r="J381" s="36"/>
      <c r="K381" s="36"/>
      <c r="L381" s="36"/>
      <c r="M381" s="36"/>
      <c r="N381" s="36"/>
      <c r="O381" s="10"/>
      <c r="P381" s="10"/>
      <c r="Q381" s="9"/>
      <c r="R381" s="9"/>
      <c r="S381" s="13"/>
      <c r="T381" s="35"/>
      <c r="U381" s="35"/>
      <c r="V381" s="35"/>
      <c r="W381" s="35"/>
      <c r="X381" s="9"/>
      <c r="Y381" s="35"/>
      <c r="Z381" s="9"/>
      <c r="AA381" s="9"/>
    </row>
    <row r="382" spans="1:27" s="61" customFormat="1" x14ac:dyDescent="0.25">
      <c r="A382" s="9"/>
      <c r="B382" s="10"/>
      <c r="C382" s="2"/>
      <c r="D382" s="12"/>
      <c r="E382" s="10"/>
      <c r="F382" s="11"/>
      <c r="G382" s="11"/>
      <c r="H382" s="36"/>
      <c r="I382" s="36"/>
      <c r="J382" s="36"/>
      <c r="K382" s="36"/>
      <c r="L382" s="36"/>
      <c r="M382" s="36"/>
      <c r="N382" s="36"/>
      <c r="O382" s="10"/>
      <c r="P382" s="10"/>
      <c r="Q382" s="9"/>
      <c r="R382" s="9"/>
      <c r="S382" s="13"/>
      <c r="T382" s="35"/>
      <c r="U382" s="35"/>
      <c r="V382" s="35"/>
      <c r="W382" s="35"/>
      <c r="X382" s="9"/>
      <c r="Y382" s="35"/>
      <c r="Z382" s="9"/>
      <c r="AA382" s="9"/>
    </row>
    <row r="383" spans="1:27" s="61" customFormat="1" x14ac:dyDescent="0.25">
      <c r="A383" s="9"/>
      <c r="B383" s="10"/>
      <c r="C383" s="2"/>
      <c r="D383" s="12"/>
      <c r="E383" s="10"/>
      <c r="F383" s="11"/>
      <c r="G383" s="11"/>
      <c r="H383" s="36"/>
      <c r="I383" s="36"/>
      <c r="J383" s="36"/>
      <c r="K383" s="36"/>
      <c r="L383" s="36"/>
      <c r="M383" s="36"/>
      <c r="N383" s="36"/>
      <c r="O383" s="10"/>
      <c r="P383" s="10"/>
      <c r="Q383" s="9"/>
      <c r="R383" s="9"/>
      <c r="S383" s="13"/>
      <c r="T383" s="35"/>
      <c r="U383" s="35"/>
      <c r="V383" s="35"/>
      <c r="W383" s="35"/>
      <c r="X383" s="9"/>
      <c r="Y383" s="35"/>
      <c r="Z383" s="9"/>
      <c r="AA383" s="9"/>
    </row>
    <row r="384" spans="1:27" s="61" customFormat="1" x14ac:dyDescent="0.25">
      <c r="A384" s="9"/>
      <c r="B384" s="10"/>
      <c r="C384" s="2"/>
      <c r="D384" s="12"/>
      <c r="E384" s="10"/>
      <c r="F384" s="11"/>
      <c r="G384" s="11"/>
      <c r="H384" s="36"/>
      <c r="I384" s="36"/>
      <c r="J384" s="36"/>
      <c r="K384" s="36"/>
      <c r="L384" s="36"/>
      <c r="M384" s="36"/>
      <c r="N384" s="36"/>
      <c r="O384" s="10"/>
      <c r="P384" s="10"/>
      <c r="Q384" s="9"/>
      <c r="R384" s="9"/>
      <c r="S384" s="13"/>
      <c r="T384" s="35"/>
      <c r="U384" s="35"/>
      <c r="V384" s="35"/>
      <c r="W384" s="35"/>
      <c r="X384" s="9"/>
      <c r="Y384" s="35"/>
      <c r="Z384" s="9"/>
      <c r="AA384" s="9"/>
    </row>
    <row r="385" spans="1:27" s="61" customFormat="1" x14ac:dyDescent="0.25">
      <c r="A385" s="9"/>
      <c r="B385" s="10"/>
      <c r="C385" s="2"/>
      <c r="D385" s="12"/>
      <c r="E385" s="10"/>
      <c r="F385" s="11"/>
      <c r="G385" s="11"/>
      <c r="H385" s="36"/>
      <c r="I385" s="36"/>
      <c r="J385" s="36"/>
      <c r="K385" s="36"/>
      <c r="L385" s="36"/>
      <c r="M385" s="36"/>
      <c r="N385" s="36"/>
      <c r="O385" s="10"/>
      <c r="P385" s="10"/>
      <c r="Q385" s="9"/>
      <c r="R385" s="9"/>
      <c r="S385" s="13"/>
      <c r="T385" s="35"/>
      <c r="U385" s="35"/>
      <c r="V385" s="35"/>
      <c r="W385" s="35"/>
      <c r="X385" s="9"/>
      <c r="Y385" s="35"/>
      <c r="Z385" s="9"/>
      <c r="AA385" s="9"/>
    </row>
    <row r="386" spans="1:27" s="61" customFormat="1" x14ac:dyDescent="0.25">
      <c r="A386" s="9"/>
      <c r="B386" s="10"/>
      <c r="C386" s="2"/>
      <c r="D386" s="12"/>
      <c r="E386" s="10"/>
      <c r="F386" s="11"/>
      <c r="G386" s="11"/>
      <c r="H386" s="36"/>
      <c r="I386" s="36"/>
      <c r="J386" s="36"/>
      <c r="K386" s="36"/>
      <c r="L386" s="36"/>
      <c r="M386" s="36"/>
      <c r="N386" s="36"/>
      <c r="O386" s="10"/>
      <c r="P386" s="10"/>
      <c r="Q386" s="9"/>
      <c r="R386" s="9"/>
      <c r="S386" s="13"/>
      <c r="T386" s="35"/>
      <c r="U386" s="35"/>
      <c r="V386" s="35"/>
      <c r="W386" s="35"/>
      <c r="X386" s="9"/>
      <c r="Y386" s="35"/>
      <c r="Z386" s="9"/>
      <c r="AA386" s="9"/>
    </row>
    <row r="387" spans="1:27" s="61" customFormat="1" x14ac:dyDescent="0.25">
      <c r="A387" s="9"/>
      <c r="B387" s="10"/>
      <c r="C387" s="2"/>
      <c r="D387" s="12"/>
      <c r="E387" s="10"/>
      <c r="F387" s="11"/>
      <c r="G387" s="11"/>
      <c r="H387" s="36"/>
      <c r="I387" s="36"/>
      <c r="J387" s="36"/>
      <c r="K387" s="36"/>
      <c r="L387" s="36"/>
      <c r="M387" s="36"/>
      <c r="N387" s="36"/>
      <c r="O387" s="10"/>
      <c r="P387" s="10"/>
      <c r="Q387" s="9"/>
      <c r="R387" s="9"/>
      <c r="S387" s="13"/>
      <c r="T387" s="35"/>
      <c r="U387" s="35"/>
      <c r="V387" s="35"/>
      <c r="W387" s="35"/>
      <c r="X387" s="9"/>
      <c r="Y387" s="35"/>
      <c r="Z387" s="9"/>
      <c r="AA387" s="9"/>
    </row>
    <row r="388" spans="1:27" s="61" customFormat="1" x14ac:dyDescent="0.25">
      <c r="A388" s="9"/>
      <c r="B388" s="10"/>
      <c r="C388" s="2"/>
      <c r="D388" s="12"/>
      <c r="E388" s="10"/>
      <c r="F388" s="11"/>
      <c r="G388" s="11"/>
      <c r="H388" s="36"/>
      <c r="I388" s="36"/>
      <c r="J388" s="36"/>
      <c r="K388" s="36"/>
      <c r="L388" s="36"/>
      <c r="M388" s="36"/>
      <c r="N388" s="36"/>
      <c r="O388" s="10"/>
      <c r="P388" s="10"/>
      <c r="Q388" s="9"/>
      <c r="R388" s="9"/>
      <c r="S388" s="13"/>
      <c r="T388" s="35"/>
      <c r="U388" s="35"/>
      <c r="V388" s="35"/>
      <c r="W388" s="35"/>
      <c r="X388" s="9"/>
      <c r="Y388" s="35"/>
      <c r="Z388" s="9"/>
      <c r="AA388" s="9"/>
    </row>
    <row r="389" spans="1:27" s="61" customFormat="1" x14ac:dyDescent="0.25">
      <c r="A389" s="9"/>
      <c r="B389" s="10"/>
      <c r="C389" s="2"/>
      <c r="D389" s="12"/>
      <c r="E389" s="10"/>
      <c r="F389" s="11"/>
      <c r="G389" s="11"/>
      <c r="H389" s="36"/>
      <c r="I389" s="36"/>
      <c r="J389" s="36"/>
      <c r="K389" s="36"/>
      <c r="L389" s="36"/>
      <c r="M389" s="36"/>
      <c r="N389" s="36"/>
      <c r="O389" s="10"/>
      <c r="P389" s="10"/>
      <c r="Q389" s="9"/>
      <c r="R389" s="9"/>
      <c r="S389" s="13"/>
      <c r="T389" s="35"/>
      <c r="U389" s="35"/>
      <c r="V389" s="35"/>
      <c r="W389" s="35"/>
      <c r="X389" s="9"/>
      <c r="Y389" s="35"/>
      <c r="Z389" s="9"/>
      <c r="AA389" s="9"/>
    </row>
    <row r="390" spans="1:27" s="61" customFormat="1" x14ac:dyDescent="0.25">
      <c r="A390" s="9"/>
      <c r="B390" s="10"/>
      <c r="C390" s="2"/>
      <c r="D390" s="12"/>
      <c r="E390" s="10"/>
      <c r="F390" s="11"/>
      <c r="G390" s="11"/>
      <c r="H390" s="36"/>
      <c r="I390" s="36"/>
      <c r="J390" s="36"/>
      <c r="K390" s="36"/>
      <c r="L390" s="36"/>
      <c r="M390" s="36"/>
      <c r="N390" s="36"/>
      <c r="O390" s="10"/>
      <c r="P390" s="10"/>
      <c r="Q390" s="9"/>
      <c r="R390" s="9"/>
      <c r="S390" s="13"/>
      <c r="T390" s="35"/>
      <c r="U390" s="35"/>
      <c r="V390" s="35"/>
      <c r="W390" s="35"/>
      <c r="X390" s="9"/>
      <c r="Y390" s="35"/>
      <c r="Z390" s="9"/>
      <c r="AA390" s="9"/>
    </row>
    <row r="391" spans="1:27" s="61" customFormat="1" x14ac:dyDescent="0.25">
      <c r="A391" s="9"/>
      <c r="B391" s="10"/>
      <c r="C391" s="2"/>
      <c r="D391" s="12"/>
      <c r="E391" s="10"/>
      <c r="F391" s="11"/>
      <c r="G391" s="11"/>
      <c r="H391" s="36"/>
      <c r="I391" s="36"/>
      <c r="J391" s="36"/>
      <c r="K391" s="36"/>
      <c r="L391" s="36"/>
      <c r="M391" s="36"/>
      <c r="N391" s="36"/>
      <c r="O391" s="10"/>
      <c r="P391" s="10"/>
      <c r="Q391" s="9"/>
      <c r="R391" s="9"/>
      <c r="S391" s="13"/>
      <c r="T391" s="35"/>
      <c r="U391" s="35"/>
      <c r="V391" s="35"/>
      <c r="W391" s="35"/>
      <c r="X391" s="9"/>
      <c r="Y391" s="35"/>
      <c r="Z391" s="9"/>
      <c r="AA391" s="9"/>
    </row>
    <row r="392" spans="1:27" s="61" customFormat="1" x14ac:dyDescent="0.25">
      <c r="A392" s="9"/>
      <c r="B392" s="10"/>
      <c r="C392" s="2"/>
      <c r="D392" s="12"/>
      <c r="E392" s="10"/>
      <c r="F392" s="11"/>
      <c r="G392" s="11"/>
      <c r="H392" s="36"/>
      <c r="I392" s="36"/>
      <c r="J392" s="36"/>
      <c r="K392" s="36"/>
      <c r="L392" s="36"/>
      <c r="M392" s="36"/>
      <c r="N392" s="36"/>
      <c r="O392" s="10"/>
      <c r="P392" s="10"/>
      <c r="Q392" s="9"/>
      <c r="R392" s="9"/>
      <c r="S392" s="13"/>
      <c r="T392" s="35"/>
      <c r="U392" s="35"/>
      <c r="V392" s="35"/>
      <c r="W392" s="35"/>
      <c r="X392" s="9"/>
      <c r="Y392" s="35"/>
      <c r="Z392" s="9"/>
      <c r="AA392" s="9"/>
    </row>
    <row r="393" spans="1:27" s="61" customFormat="1" x14ac:dyDescent="0.25">
      <c r="A393" s="9"/>
      <c r="B393" s="10"/>
      <c r="C393" s="2"/>
      <c r="D393" s="12"/>
      <c r="E393" s="10"/>
      <c r="F393" s="11"/>
      <c r="G393" s="11"/>
      <c r="H393" s="36"/>
      <c r="I393" s="36"/>
      <c r="J393" s="36"/>
      <c r="K393" s="36"/>
      <c r="L393" s="36"/>
      <c r="M393" s="36"/>
      <c r="N393" s="36"/>
      <c r="O393" s="10"/>
      <c r="P393" s="10"/>
      <c r="Q393" s="9"/>
      <c r="R393" s="9"/>
      <c r="S393" s="13"/>
      <c r="T393" s="35"/>
      <c r="U393" s="35"/>
      <c r="V393" s="35"/>
      <c r="W393" s="35"/>
      <c r="X393" s="9"/>
      <c r="Y393" s="35"/>
      <c r="Z393" s="9"/>
      <c r="AA393" s="9"/>
    </row>
    <row r="394" spans="1:27" s="61" customFormat="1" x14ac:dyDescent="0.25">
      <c r="A394" s="9"/>
      <c r="B394" s="10"/>
      <c r="C394" s="2"/>
      <c r="D394" s="12"/>
      <c r="E394" s="10"/>
      <c r="F394" s="11"/>
      <c r="G394" s="11"/>
      <c r="H394" s="36"/>
      <c r="I394" s="36"/>
      <c r="J394" s="36"/>
      <c r="K394" s="36"/>
      <c r="L394" s="36"/>
      <c r="M394" s="36"/>
      <c r="N394" s="36"/>
      <c r="O394" s="10"/>
      <c r="P394" s="10"/>
      <c r="Q394" s="9"/>
      <c r="R394" s="9"/>
      <c r="S394" s="13"/>
      <c r="T394" s="35"/>
      <c r="U394" s="35"/>
      <c r="V394" s="35"/>
      <c r="W394" s="35"/>
      <c r="X394" s="9"/>
      <c r="Y394" s="35"/>
      <c r="Z394" s="9"/>
      <c r="AA394" s="9"/>
    </row>
    <row r="395" spans="1:27" s="61" customFormat="1" x14ac:dyDescent="0.25">
      <c r="A395" s="9"/>
      <c r="B395" s="10"/>
      <c r="C395" s="2"/>
      <c r="D395" s="12"/>
      <c r="E395" s="10"/>
      <c r="F395" s="11"/>
      <c r="G395" s="11"/>
      <c r="H395" s="36"/>
      <c r="I395" s="36"/>
      <c r="J395" s="36"/>
      <c r="K395" s="36"/>
      <c r="L395" s="36"/>
      <c r="M395" s="36"/>
      <c r="N395" s="36"/>
      <c r="O395" s="10"/>
      <c r="P395" s="10"/>
      <c r="Q395" s="9"/>
      <c r="R395" s="9"/>
      <c r="S395" s="13"/>
      <c r="T395" s="35"/>
      <c r="U395" s="35"/>
      <c r="V395" s="35"/>
      <c r="W395" s="35"/>
      <c r="X395" s="9"/>
      <c r="Y395" s="35"/>
      <c r="Z395" s="9"/>
      <c r="AA395" s="9"/>
    </row>
    <row r="396" spans="1:27" s="61" customFormat="1" x14ac:dyDescent="0.25">
      <c r="A396" s="9"/>
      <c r="B396" s="10"/>
      <c r="C396" s="2"/>
      <c r="D396" s="12"/>
      <c r="E396" s="10"/>
      <c r="F396" s="11"/>
      <c r="G396" s="11"/>
      <c r="H396" s="36"/>
      <c r="I396" s="36"/>
      <c r="J396" s="36"/>
      <c r="K396" s="36"/>
      <c r="L396" s="36"/>
      <c r="M396" s="36"/>
      <c r="N396" s="36"/>
      <c r="O396" s="10"/>
      <c r="P396" s="10"/>
      <c r="Q396" s="9"/>
      <c r="R396" s="9"/>
      <c r="S396" s="13"/>
      <c r="T396" s="35"/>
      <c r="U396" s="35"/>
      <c r="V396" s="35"/>
      <c r="W396" s="35"/>
      <c r="X396" s="9"/>
      <c r="Y396" s="35"/>
      <c r="Z396" s="9"/>
      <c r="AA396" s="9"/>
    </row>
    <row r="397" spans="1:27" s="61" customFormat="1" x14ac:dyDescent="0.25">
      <c r="A397" s="9"/>
      <c r="B397" s="10"/>
      <c r="C397" s="2"/>
      <c r="D397" s="12"/>
      <c r="E397" s="10"/>
      <c r="F397" s="11"/>
      <c r="G397" s="11"/>
      <c r="H397" s="36"/>
      <c r="I397" s="36"/>
      <c r="J397" s="36"/>
      <c r="K397" s="36"/>
      <c r="L397" s="36"/>
      <c r="M397" s="36"/>
      <c r="N397" s="36"/>
      <c r="O397" s="10"/>
      <c r="P397" s="10"/>
      <c r="Q397" s="9"/>
      <c r="R397" s="9"/>
      <c r="S397" s="13"/>
      <c r="T397" s="35"/>
      <c r="U397" s="35"/>
      <c r="V397" s="35"/>
      <c r="W397" s="35"/>
      <c r="X397" s="9"/>
      <c r="Y397" s="35"/>
      <c r="Z397" s="9"/>
      <c r="AA397" s="9"/>
    </row>
    <row r="398" spans="1:27" s="61" customFormat="1" x14ac:dyDescent="0.25">
      <c r="A398" s="9"/>
      <c r="B398" s="10"/>
      <c r="C398" s="2"/>
      <c r="D398" s="12"/>
      <c r="E398" s="10"/>
      <c r="F398" s="11"/>
      <c r="G398" s="11"/>
      <c r="H398" s="36"/>
      <c r="I398" s="36"/>
      <c r="J398" s="36"/>
      <c r="K398" s="36"/>
      <c r="L398" s="36"/>
      <c r="M398" s="36"/>
      <c r="N398" s="36"/>
      <c r="O398" s="10"/>
      <c r="P398" s="10"/>
      <c r="Q398" s="9"/>
      <c r="R398" s="9"/>
      <c r="S398" s="13"/>
      <c r="T398" s="35"/>
      <c r="U398" s="35"/>
      <c r="V398" s="35"/>
      <c r="W398" s="35"/>
      <c r="X398" s="9"/>
      <c r="Y398" s="35"/>
      <c r="Z398" s="9"/>
      <c r="AA398" s="9"/>
    </row>
    <row r="399" spans="1:27" s="61" customFormat="1" x14ac:dyDescent="0.25">
      <c r="A399" s="9"/>
      <c r="B399" s="10"/>
      <c r="C399" s="2"/>
      <c r="D399" s="12"/>
      <c r="E399" s="10"/>
      <c r="F399" s="11"/>
      <c r="G399" s="11"/>
      <c r="H399" s="36"/>
      <c r="I399" s="36"/>
      <c r="J399" s="36"/>
      <c r="K399" s="36"/>
      <c r="L399" s="36"/>
      <c r="M399" s="36"/>
      <c r="N399" s="36"/>
      <c r="O399" s="10"/>
      <c r="P399" s="10"/>
      <c r="Q399" s="9"/>
      <c r="R399" s="9"/>
      <c r="S399" s="13"/>
      <c r="T399" s="35"/>
      <c r="U399" s="35"/>
      <c r="V399" s="35"/>
      <c r="W399" s="35"/>
      <c r="X399" s="9"/>
      <c r="Y399" s="35"/>
      <c r="Z399" s="9"/>
      <c r="AA399" s="9"/>
    </row>
    <row r="400" spans="1:27" s="61" customFormat="1" x14ac:dyDescent="0.25">
      <c r="A400" s="9"/>
      <c r="B400" s="10"/>
      <c r="C400" s="2"/>
      <c r="D400" s="12"/>
      <c r="E400" s="10"/>
      <c r="F400" s="11"/>
      <c r="G400" s="11"/>
      <c r="H400" s="36"/>
      <c r="I400" s="36"/>
      <c r="J400" s="36"/>
      <c r="K400" s="36"/>
      <c r="L400" s="36"/>
      <c r="M400" s="36"/>
      <c r="N400" s="36"/>
      <c r="O400" s="10"/>
      <c r="P400" s="10"/>
      <c r="Q400" s="9"/>
      <c r="R400" s="9"/>
      <c r="S400" s="13"/>
      <c r="T400" s="35"/>
      <c r="U400" s="35"/>
      <c r="V400" s="35"/>
      <c r="W400" s="35"/>
      <c r="X400" s="9"/>
      <c r="Y400" s="35"/>
      <c r="Z400" s="9"/>
      <c r="AA400" s="9"/>
    </row>
    <row r="401" spans="1:27" s="61" customFormat="1" x14ac:dyDescent="0.25">
      <c r="A401" s="9"/>
      <c r="B401" s="10"/>
      <c r="C401" s="2"/>
      <c r="D401" s="12"/>
      <c r="E401" s="10"/>
      <c r="F401" s="11"/>
      <c r="G401" s="11"/>
      <c r="H401" s="36"/>
      <c r="I401" s="36"/>
      <c r="J401" s="36"/>
      <c r="K401" s="36"/>
      <c r="L401" s="36"/>
      <c r="M401" s="36"/>
      <c r="N401" s="36"/>
      <c r="O401" s="10"/>
      <c r="P401" s="10"/>
      <c r="Q401" s="9"/>
      <c r="R401" s="9"/>
      <c r="S401" s="13"/>
      <c r="T401" s="35"/>
      <c r="U401" s="35"/>
      <c r="V401" s="35"/>
      <c r="W401" s="35"/>
      <c r="X401" s="9"/>
      <c r="Y401" s="35"/>
      <c r="Z401" s="9"/>
      <c r="AA401" s="9"/>
    </row>
    <row r="402" spans="1:27" s="61" customFormat="1" x14ac:dyDescent="0.25">
      <c r="A402" s="9"/>
      <c r="B402" s="10"/>
      <c r="C402" s="2"/>
      <c r="D402" s="12"/>
      <c r="E402" s="10"/>
      <c r="F402" s="11"/>
      <c r="G402" s="11"/>
      <c r="H402" s="36"/>
      <c r="I402" s="36"/>
      <c r="J402" s="36"/>
      <c r="K402" s="36"/>
      <c r="L402" s="36"/>
      <c r="M402" s="36"/>
      <c r="N402" s="36"/>
      <c r="O402" s="10"/>
      <c r="P402" s="10"/>
      <c r="Q402" s="9"/>
      <c r="R402" s="9"/>
      <c r="S402" s="13"/>
      <c r="T402" s="35"/>
      <c r="U402" s="35"/>
      <c r="V402" s="35"/>
      <c r="W402" s="35"/>
      <c r="X402" s="9"/>
      <c r="Y402" s="35"/>
      <c r="Z402" s="9"/>
      <c r="AA402" s="9"/>
    </row>
    <row r="403" spans="1:27" s="61" customFormat="1" x14ac:dyDescent="0.25">
      <c r="A403" s="9"/>
      <c r="B403" s="10"/>
      <c r="C403" s="2"/>
      <c r="D403" s="12"/>
      <c r="E403" s="10"/>
      <c r="F403" s="11"/>
      <c r="G403" s="11"/>
      <c r="H403" s="36"/>
      <c r="I403" s="36"/>
      <c r="J403" s="36"/>
      <c r="K403" s="36"/>
      <c r="L403" s="36"/>
      <c r="M403" s="36"/>
      <c r="N403" s="36"/>
      <c r="O403" s="10"/>
      <c r="P403" s="10"/>
      <c r="Q403" s="9"/>
      <c r="R403" s="9"/>
      <c r="S403" s="13"/>
      <c r="T403" s="35"/>
      <c r="U403" s="35"/>
      <c r="V403" s="35"/>
      <c r="W403" s="35"/>
      <c r="X403" s="9"/>
      <c r="Y403" s="35"/>
      <c r="Z403" s="9"/>
      <c r="AA403" s="9"/>
    </row>
    <row r="404" spans="1:27" s="61" customFormat="1" x14ac:dyDescent="0.25">
      <c r="A404" s="9"/>
      <c r="B404" s="10"/>
      <c r="C404" s="2"/>
      <c r="D404" s="12"/>
      <c r="E404" s="10"/>
      <c r="F404" s="11"/>
      <c r="G404" s="11"/>
      <c r="H404" s="36"/>
      <c r="I404" s="36"/>
      <c r="J404" s="36"/>
      <c r="K404" s="36"/>
      <c r="L404" s="36"/>
      <c r="M404" s="36"/>
      <c r="N404" s="36"/>
      <c r="O404" s="10"/>
      <c r="P404" s="10"/>
      <c r="Q404" s="9"/>
      <c r="R404" s="9"/>
      <c r="S404" s="13"/>
      <c r="T404" s="35"/>
      <c r="U404" s="35"/>
      <c r="V404" s="35"/>
      <c r="W404" s="35"/>
      <c r="X404" s="9"/>
      <c r="Y404" s="35"/>
      <c r="Z404" s="9"/>
      <c r="AA404" s="9"/>
    </row>
    <row r="405" spans="1:27" s="61" customFormat="1" x14ac:dyDescent="0.25">
      <c r="A405" s="9"/>
      <c r="B405" s="10"/>
      <c r="C405" s="2"/>
      <c r="D405" s="12"/>
      <c r="E405" s="10"/>
      <c r="F405" s="11"/>
      <c r="G405" s="11"/>
      <c r="H405" s="36"/>
      <c r="I405" s="36"/>
      <c r="J405" s="36"/>
      <c r="K405" s="36"/>
      <c r="L405" s="36"/>
      <c r="M405" s="36"/>
      <c r="N405" s="36"/>
      <c r="O405" s="10"/>
      <c r="P405" s="10"/>
      <c r="Q405" s="9"/>
      <c r="R405" s="9"/>
      <c r="S405" s="13"/>
      <c r="T405" s="35"/>
      <c r="U405" s="35"/>
      <c r="V405" s="35"/>
      <c r="W405" s="35"/>
      <c r="X405" s="9"/>
      <c r="Y405" s="35"/>
      <c r="Z405" s="9"/>
      <c r="AA405" s="9"/>
    </row>
    <row r="406" spans="1:27" s="61" customFormat="1" x14ac:dyDescent="0.25">
      <c r="A406" s="9"/>
      <c r="B406" s="10"/>
      <c r="C406" s="2"/>
      <c r="D406" s="12"/>
      <c r="E406" s="10"/>
      <c r="F406" s="11"/>
      <c r="G406" s="11"/>
      <c r="H406" s="36"/>
      <c r="I406" s="36"/>
      <c r="J406" s="36"/>
      <c r="K406" s="36"/>
      <c r="L406" s="36"/>
      <c r="M406" s="36"/>
      <c r="N406" s="36"/>
      <c r="O406" s="10"/>
      <c r="P406" s="10"/>
      <c r="Q406" s="9"/>
      <c r="R406" s="9"/>
      <c r="S406" s="13"/>
      <c r="T406" s="35"/>
      <c r="U406" s="35"/>
      <c r="V406" s="35"/>
      <c r="W406" s="35"/>
      <c r="X406" s="9"/>
      <c r="Y406" s="35"/>
      <c r="Z406" s="9"/>
      <c r="AA406" s="9"/>
    </row>
    <row r="407" spans="1:27" s="61" customFormat="1" x14ac:dyDescent="0.25">
      <c r="A407" s="9"/>
      <c r="B407" s="10"/>
      <c r="C407" s="2"/>
      <c r="D407" s="12"/>
      <c r="E407" s="10"/>
      <c r="F407" s="11"/>
      <c r="G407" s="11"/>
      <c r="H407" s="36"/>
      <c r="I407" s="36"/>
      <c r="J407" s="36"/>
      <c r="K407" s="36"/>
      <c r="L407" s="36"/>
      <c r="M407" s="36"/>
      <c r="N407" s="36"/>
      <c r="O407" s="10"/>
      <c r="P407" s="10"/>
      <c r="Q407" s="9"/>
      <c r="R407" s="9"/>
      <c r="S407" s="13"/>
      <c r="T407" s="35"/>
      <c r="U407" s="35"/>
      <c r="V407" s="35"/>
      <c r="W407" s="35"/>
      <c r="X407" s="9"/>
      <c r="Y407" s="35"/>
      <c r="Z407" s="9"/>
      <c r="AA407" s="9"/>
    </row>
    <row r="408" spans="1:27" s="61" customFormat="1" x14ac:dyDescent="0.25">
      <c r="A408" s="9"/>
      <c r="B408" s="10"/>
      <c r="C408" s="2"/>
      <c r="D408" s="12"/>
      <c r="E408" s="10"/>
      <c r="F408" s="11"/>
      <c r="G408" s="11"/>
      <c r="H408" s="36"/>
      <c r="I408" s="36"/>
      <c r="J408" s="36"/>
      <c r="K408" s="36"/>
      <c r="L408" s="36"/>
      <c r="M408" s="36"/>
      <c r="N408" s="36"/>
      <c r="O408" s="10"/>
      <c r="P408" s="10"/>
      <c r="Q408" s="9"/>
      <c r="R408" s="9"/>
      <c r="S408" s="13"/>
      <c r="T408" s="35"/>
      <c r="U408" s="35"/>
      <c r="V408" s="35"/>
      <c r="W408" s="35"/>
      <c r="X408" s="9"/>
      <c r="Y408" s="35"/>
      <c r="Z408" s="9"/>
      <c r="AA408" s="9"/>
    </row>
    <row r="409" spans="1:27" s="61" customFormat="1" x14ac:dyDescent="0.25">
      <c r="A409" s="9"/>
      <c r="B409" s="10"/>
      <c r="C409" s="2"/>
      <c r="D409" s="12"/>
      <c r="E409" s="10"/>
      <c r="F409" s="11"/>
      <c r="G409" s="11"/>
      <c r="H409" s="36"/>
      <c r="I409" s="36"/>
      <c r="J409" s="36"/>
      <c r="K409" s="36"/>
      <c r="L409" s="36"/>
      <c r="M409" s="36"/>
      <c r="N409" s="36"/>
      <c r="O409" s="10"/>
      <c r="P409" s="10"/>
      <c r="Q409" s="9"/>
      <c r="R409" s="9"/>
      <c r="S409" s="13"/>
      <c r="T409" s="35"/>
      <c r="U409" s="35"/>
      <c r="V409" s="35"/>
      <c r="W409" s="35"/>
      <c r="X409" s="9"/>
      <c r="Y409" s="35"/>
      <c r="Z409" s="9"/>
      <c r="AA409" s="9"/>
    </row>
    <row r="410" spans="1:27" s="61" customFormat="1" x14ac:dyDescent="0.25">
      <c r="A410" s="9"/>
      <c r="B410" s="10"/>
      <c r="C410" s="2"/>
      <c r="D410" s="12"/>
      <c r="E410" s="10"/>
      <c r="F410" s="11"/>
      <c r="G410" s="11"/>
      <c r="H410" s="36"/>
      <c r="I410" s="36"/>
      <c r="J410" s="36"/>
      <c r="K410" s="36"/>
      <c r="L410" s="36"/>
      <c r="M410" s="36"/>
      <c r="N410" s="36"/>
      <c r="O410" s="10"/>
      <c r="P410" s="10"/>
      <c r="Q410" s="9"/>
      <c r="R410" s="9"/>
      <c r="S410" s="13"/>
      <c r="T410" s="35"/>
      <c r="U410" s="35"/>
      <c r="V410" s="35"/>
      <c r="W410" s="35"/>
      <c r="X410" s="9"/>
      <c r="Y410" s="35"/>
      <c r="Z410" s="9"/>
      <c r="AA410" s="9"/>
    </row>
    <row r="411" spans="1:27" s="61" customFormat="1" x14ac:dyDescent="0.25">
      <c r="A411" s="9"/>
      <c r="B411" s="10"/>
      <c r="C411" s="2"/>
      <c r="D411" s="12"/>
      <c r="E411" s="10"/>
      <c r="F411" s="11"/>
      <c r="G411" s="11"/>
      <c r="H411" s="36"/>
      <c r="I411" s="36"/>
      <c r="J411" s="36"/>
      <c r="K411" s="36"/>
      <c r="L411" s="36"/>
      <c r="M411" s="36"/>
      <c r="N411" s="36"/>
      <c r="O411" s="10"/>
      <c r="P411" s="10"/>
      <c r="Q411" s="9"/>
      <c r="R411" s="9"/>
      <c r="S411" s="13"/>
      <c r="T411" s="35"/>
      <c r="U411" s="35"/>
      <c r="V411" s="35"/>
      <c r="W411" s="35"/>
      <c r="X411" s="9"/>
      <c r="Y411" s="35"/>
      <c r="Z411" s="9"/>
      <c r="AA411" s="9"/>
    </row>
    <row r="412" spans="1:27" s="61" customFormat="1" x14ac:dyDescent="0.25">
      <c r="A412" s="9"/>
      <c r="B412" s="10"/>
      <c r="C412" s="2"/>
      <c r="D412" s="12"/>
      <c r="E412" s="10"/>
      <c r="F412" s="11"/>
      <c r="G412" s="11"/>
      <c r="H412" s="36"/>
      <c r="I412" s="36"/>
      <c r="J412" s="36"/>
      <c r="K412" s="36"/>
      <c r="L412" s="36"/>
      <c r="M412" s="36"/>
      <c r="N412" s="36"/>
      <c r="O412" s="10"/>
      <c r="P412" s="10"/>
      <c r="Q412" s="9"/>
      <c r="R412" s="9"/>
      <c r="S412" s="13"/>
      <c r="T412" s="35"/>
      <c r="U412" s="35"/>
      <c r="V412" s="35"/>
      <c r="W412" s="35"/>
      <c r="X412" s="9"/>
      <c r="Y412" s="35"/>
      <c r="Z412" s="9"/>
      <c r="AA412" s="9"/>
    </row>
    <row r="413" spans="1:27" s="61" customFormat="1" x14ac:dyDescent="0.25">
      <c r="A413" s="9"/>
      <c r="B413" s="10"/>
      <c r="C413" s="2"/>
      <c r="D413" s="12"/>
      <c r="E413" s="10"/>
      <c r="F413" s="11"/>
      <c r="G413" s="11"/>
      <c r="H413" s="36"/>
      <c r="I413" s="36"/>
      <c r="J413" s="36"/>
      <c r="K413" s="36"/>
      <c r="L413" s="36"/>
      <c r="M413" s="36"/>
      <c r="N413" s="36"/>
      <c r="O413" s="10"/>
      <c r="P413" s="10"/>
      <c r="Q413" s="9"/>
      <c r="R413" s="9"/>
      <c r="S413" s="13"/>
      <c r="T413" s="35"/>
      <c r="U413" s="35"/>
      <c r="V413" s="35"/>
      <c r="W413" s="35"/>
      <c r="X413" s="9"/>
      <c r="Y413" s="35"/>
      <c r="Z413" s="9"/>
      <c r="AA413" s="9"/>
    </row>
    <row r="414" spans="1:27" s="61" customFormat="1" x14ac:dyDescent="0.25">
      <c r="A414" s="9"/>
      <c r="B414" s="10"/>
      <c r="C414" s="2"/>
      <c r="D414" s="12"/>
      <c r="E414" s="10"/>
      <c r="F414" s="11"/>
      <c r="G414" s="11"/>
      <c r="H414" s="36"/>
      <c r="I414" s="36"/>
      <c r="J414" s="36"/>
      <c r="K414" s="36"/>
      <c r="L414" s="36"/>
      <c r="M414" s="36"/>
      <c r="N414" s="36"/>
      <c r="O414" s="10"/>
      <c r="P414" s="10"/>
      <c r="Q414" s="9"/>
      <c r="R414" s="9"/>
      <c r="S414" s="13"/>
      <c r="T414" s="35"/>
      <c r="U414" s="35"/>
      <c r="V414" s="35"/>
      <c r="W414" s="35"/>
      <c r="X414" s="9"/>
      <c r="Y414" s="35"/>
      <c r="Z414" s="9"/>
      <c r="AA414" s="9"/>
    </row>
    <row r="415" spans="1:27" s="61" customFormat="1" x14ac:dyDescent="0.25">
      <c r="A415" s="9"/>
      <c r="B415" s="10"/>
      <c r="C415" s="2"/>
      <c r="D415" s="12"/>
      <c r="E415" s="10"/>
      <c r="F415" s="11"/>
      <c r="G415" s="11"/>
      <c r="H415" s="36"/>
      <c r="I415" s="36"/>
      <c r="J415" s="36"/>
      <c r="K415" s="36"/>
      <c r="L415" s="36"/>
      <c r="M415" s="36"/>
      <c r="N415" s="36"/>
      <c r="O415" s="10"/>
      <c r="P415" s="10"/>
      <c r="Q415" s="9"/>
      <c r="R415" s="9"/>
      <c r="S415" s="13"/>
      <c r="T415" s="35"/>
      <c r="U415" s="35"/>
      <c r="V415" s="35"/>
      <c r="W415" s="35"/>
      <c r="X415" s="9"/>
      <c r="Y415" s="35"/>
      <c r="Z415" s="9"/>
      <c r="AA415" s="9"/>
    </row>
    <row r="416" spans="1:27" s="61" customFormat="1" x14ac:dyDescent="0.25">
      <c r="A416" s="9"/>
      <c r="B416" s="10"/>
      <c r="C416" s="2"/>
      <c r="D416" s="12"/>
      <c r="E416" s="10"/>
      <c r="F416" s="11"/>
      <c r="G416" s="11"/>
      <c r="H416" s="36"/>
      <c r="I416" s="36"/>
      <c r="J416" s="36"/>
      <c r="K416" s="36"/>
      <c r="L416" s="36"/>
      <c r="M416" s="36"/>
      <c r="N416" s="36"/>
      <c r="O416" s="10"/>
      <c r="P416" s="10"/>
      <c r="Q416" s="9"/>
      <c r="R416" s="9"/>
      <c r="S416" s="13"/>
      <c r="T416" s="35"/>
      <c r="U416" s="35"/>
      <c r="V416" s="35"/>
      <c r="W416" s="35"/>
      <c r="X416" s="9"/>
      <c r="Y416" s="35"/>
      <c r="Z416" s="9"/>
      <c r="AA416" s="9"/>
    </row>
    <row r="417" spans="1:27" s="61" customFormat="1" x14ac:dyDescent="0.25">
      <c r="A417" s="9"/>
      <c r="B417" s="10"/>
      <c r="C417" s="2"/>
      <c r="D417" s="12"/>
      <c r="E417" s="10"/>
      <c r="F417" s="11"/>
      <c r="G417" s="11"/>
      <c r="H417" s="36"/>
      <c r="I417" s="36"/>
      <c r="J417" s="36"/>
      <c r="K417" s="36"/>
      <c r="L417" s="36"/>
      <c r="M417" s="36"/>
      <c r="N417" s="36"/>
      <c r="O417" s="10"/>
      <c r="P417" s="10"/>
      <c r="Q417" s="9"/>
      <c r="R417" s="9"/>
      <c r="S417" s="13"/>
      <c r="T417" s="35"/>
      <c r="U417" s="35"/>
      <c r="V417" s="35"/>
      <c r="W417" s="35"/>
      <c r="X417" s="9"/>
      <c r="Y417" s="35"/>
      <c r="Z417" s="9"/>
      <c r="AA417" s="9"/>
    </row>
    <row r="418" spans="1:27" s="61" customFormat="1" x14ac:dyDescent="0.25">
      <c r="A418" s="9"/>
      <c r="B418" s="10"/>
      <c r="C418" s="2"/>
      <c r="D418" s="12"/>
      <c r="E418" s="10"/>
      <c r="F418" s="11"/>
      <c r="G418" s="11"/>
      <c r="H418" s="36"/>
      <c r="I418" s="36"/>
      <c r="J418" s="36"/>
      <c r="K418" s="36"/>
      <c r="L418" s="36"/>
      <c r="M418" s="36"/>
      <c r="N418" s="36"/>
      <c r="O418" s="10"/>
      <c r="P418" s="10"/>
      <c r="Q418" s="9"/>
      <c r="R418" s="9"/>
      <c r="S418" s="13"/>
      <c r="T418" s="35"/>
      <c r="U418" s="35"/>
      <c r="V418" s="35"/>
      <c r="W418" s="35"/>
      <c r="X418" s="9"/>
      <c r="Y418" s="35"/>
      <c r="Z418" s="9"/>
      <c r="AA418" s="9"/>
    </row>
    <row r="419" spans="1:27" s="61" customFormat="1" x14ac:dyDescent="0.25">
      <c r="A419" s="9"/>
      <c r="B419" s="10"/>
      <c r="C419" s="2"/>
      <c r="D419" s="12"/>
      <c r="E419" s="10"/>
      <c r="F419" s="11"/>
      <c r="G419" s="11"/>
      <c r="H419" s="36"/>
      <c r="I419" s="36"/>
      <c r="J419" s="36"/>
      <c r="K419" s="36"/>
      <c r="L419" s="36"/>
      <c r="M419" s="36"/>
      <c r="N419" s="36"/>
      <c r="O419" s="10"/>
      <c r="P419" s="10"/>
      <c r="Q419" s="9"/>
      <c r="R419" s="9"/>
      <c r="S419" s="13"/>
      <c r="T419" s="35"/>
      <c r="U419" s="35"/>
      <c r="V419" s="35"/>
      <c r="W419" s="35"/>
      <c r="X419" s="9"/>
      <c r="Y419" s="35"/>
      <c r="Z419" s="9"/>
      <c r="AA419" s="9"/>
    </row>
    <row r="420" spans="1:27" s="61" customFormat="1" x14ac:dyDescent="0.25">
      <c r="A420" s="9"/>
      <c r="B420" s="10"/>
      <c r="C420" s="2"/>
      <c r="D420" s="12"/>
      <c r="E420" s="10"/>
      <c r="F420" s="11"/>
      <c r="G420" s="11"/>
      <c r="H420" s="36"/>
      <c r="I420" s="36"/>
      <c r="J420" s="36"/>
      <c r="K420" s="36"/>
      <c r="L420" s="36"/>
      <c r="M420" s="36"/>
      <c r="N420" s="36"/>
      <c r="O420" s="10"/>
      <c r="P420" s="10"/>
      <c r="Q420" s="9"/>
      <c r="R420" s="9"/>
      <c r="S420" s="13"/>
      <c r="T420" s="35"/>
      <c r="U420" s="35"/>
      <c r="V420" s="35"/>
      <c r="W420" s="35"/>
      <c r="X420" s="9"/>
      <c r="Y420" s="35"/>
      <c r="Z420" s="9"/>
      <c r="AA420" s="9"/>
    </row>
    <row r="421" spans="1:27" s="61" customFormat="1" x14ac:dyDescent="0.25">
      <c r="A421" s="9"/>
      <c r="B421" s="10"/>
      <c r="C421" s="2"/>
      <c r="D421" s="12"/>
      <c r="E421" s="10"/>
      <c r="F421" s="11"/>
      <c r="G421" s="11"/>
      <c r="H421" s="36"/>
      <c r="I421" s="36"/>
      <c r="J421" s="36"/>
      <c r="K421" s="36"/>
      <c r="L421" s="36"/>
      <c r="M421" s="36"/>
      <c r="N421" s="36"/>
      <c r="O421" s="10"/>
      <c r="P421" s="10"/>
      <c r="Q421" s="9"/>
      <c r="R421" s="9"/>
      <c r="S421" s="13"/>
      <c r="T421" s="35"/>
      <c r="U421" s="35"/>
      <c r="V421" s="35"/>
      <c r="W421" s="35"/>
      <c r="X421" s="9"/>
      <c r="Y421" s="35"/>
      <c r="Z421" s="9"/>
      <c r="AA421" s="9"/>
    </row>
    <row r="422" spans="1:27" s="61" customFormat="1" x14ac:dyDescent="0.25">
      <c r="A422" s="9"/>
      <c r="B422" s="10"/>
      <c r="C422" s="2"/>
      <c r="D422" s="12"/>
      <c r="E422" s="10"/>
      <c r="F422" s="11"/>
      <c r="G422" s="11"/>
      <c r="H422" s="36"/>
      <c r="I422" s="36"/>
      <c r="J422" s="36"/>
      <c r="K422" s="36"/>
      <c r="L422" s="36"/>
      <c r="M422" s="36"/>
      <c r="N422" s="36"/>
      <c r="O422" s="10"/>
      <c r="P422" s="10"/>
      <c r="Q422" s="9"/>
      <c r="R422" s="9"/>
      <c r="S422" s="13"/>
      <c r="T422" s="35"/>
      <c r="U422" s="35"/>
      <c r="V422" s="35"/>
      <c r="W422" s="35"/>
      <c r="X422" s="9"/>
      <c r="Y422" s="35"/>
      <c r="Z422" s="9"/>
      <c r="AA422" s="9"/>
    </row>
    <row r="423" spans="1:27" s="61" customFormat="1" x14ac:dyDescent="0.25">
      <c r="A423" s="9"/>
      <c r="B423" s="10"/>
      <c r="C423" s="2"/>
      <c r="D423" s="12"/>
      <c r="E423" s="10"/>
      <c r="F423" s="11"/>
      <c r="G423" s="11"/>
      <c r="H423" s="36"/>
      <c r="I423" s="36"/>
      <c r="J423" s="36"/>
      <c r="K423" s="36"/>
      <c r="L423" s="36"/>
      <c r="M423" s="36"/>
      <c r="N423" s="36"/>
      <c r="O423" s="10"/>
      <c r="P423" s="10"/>
      <c r="Q423" s="9"/>
      <c r="R423" s="9"/>
      <c r="S423" s="13"/>
      <c r="T423" s="35"/>
      <c r="U423" s="35"/>
      <c r="V423" s="35"/>
      <c r="W423" s="35"/>
      <c r="X423" s="9"/>
      <c r="Y423" s="35"/>
      <c r="Z423" s="9"/>
      <c r="AA423" s="9"/>
    </row>
    <row r="424" spans="1:27" s="61" customFormat="1" x14ac:dyDescent="0.25">
      <c r="A424" s="9"/>
      <c r="B424" s="10"/>
      <c r="C424" s="2"/>
      <c r="D424" s="12"/>
      <c r="E424" s="10"/>
      <c r="F424" s="11"/>
      <c r="G424" s="11"/>
      <c r="H424" s="36"/>
      <c r="I424" s="36"/>
      <c r="J424" s="36"/>
      <c r="K424" s="36"/>
      <c r="L424" s="36"/>
      <c r="M424" s="36"/>
      <c r="N424" s="36"/>
      <c r="O424" s="10"/>
      <c r="P424" s="10"/>
      <c r="Q424" s="9"/>
      <c r="R424" s="9"/>
      <c r="S424" s="13"/>
      <c r="T424" s="35"/>
      <c r="U424" s="35"/>
      <c r="V424" s="35"/>
      <c r="W424" s="35"/>
      <c r="X424" s="9"/>
      <c r="Y424" s="35"/>
      <c r="Z424" s="9"/>
      <c r="AA424" s="9"/>
    </row>
    <row r="425" spans="1:27" s="61" customFormat="1" x14ac:dyDescent="0.25">
      <c r="A425" s="9"/>
      <c r="B425" s="10"/>
      <c r="C425" s="2"/>
      <c r="D425" s="12"/>
      <c r="E425" s="10"/>
      <c r="F425" s="11"/>
      <c r="G425" s="11"/>
      <c r="H425" s="36"/>
      <c r="I425" s="36"/>
      <c r="J425" s="36"/>
      <c r="K425" s="36"/>
      <c r="L425" s="36"/>
      <c r="M425" s="36"/>
      <c r="N425" s="36"/>
      <c r="O425" s="10"/>
      <c r="P425" s="10"/>
      <c r="Q425" s="9"/>
      <c r="R425" s="9"/>
      <c r="S425" s="13"/>
      <c r="T425" s="35"/>
      <c r="U425" s="35"/>
      <c r="V425" s="35"/>
      <c r="W425" s="35"/>
      <c r="X425" s="9"/>
      <c r="Y425" s="35"/>
      <c r="Z425" s="9"/>
      <c r="AA425" s="9"/>
    </row>
    <row r="426" spans="1:27" s="61" customFormat="1" x14ac:dyDescent="0.25">
      <c r="A426" s="9"/>
      <c r="B426" s="10"/>
      <c r="C426" s="2"/>
      <c r="D426" s="12"/>
      <c r="E426" s="10"/>
      <c r="F426" s="11"/>
      <c r="G426" s="11"/>
      <c r="H426" s="36"/>
      <c r="I426" s="36"/>
      <c r="J426" s="36"/>
      <c r="K426" s="36"/>
      <c r="L426" s="36"/>
      <c r="M426" s="36"/>
      <c r="N426" s="36"/>
      <c r="O426" s="10"/>
      <c r="P426" s="10"/>
      <c r="Q426" s="9"/>
      <c r="R426" s="9"/>
      <c r="S426" s="13"/>
      <c r="T426" s="35"/>
      <c r="U426" s="35"/>
      <c r="V426" s="35"/>
      <c r="W426" s="35"/>
      <c r="X426" s="9"/>
      <c r="Y426" s="35"/>
      <c r="Z426" s="9"/>
      <c r="AA426" s="9"/>
    </row>
    <row r="427" spans="1:27" s="61" customFormat="1" x14ac:dyDescent="0.25">
      <c r="A427" s="9"/>
      <c r="B427" s="10"/>
      <c r="C427" s="2"/>
      <c r="D427" s="12"/>
      <c r="E427" s="10"/>
      <c r="F427" s="11"/>
      <c r="G427" s="11"/>
      <c r="H427" s="36"/>
      <c r="I427" s="36"/>
      <c r="J427" s="36"/>
      <c r="K427" s="36"/>
      <c r="L427" s="36"/>
      <c r="M427" s="36"/>
      <c r="N427" s="36"/>
      <c r="O427" s="10"/>
      <c r="P427" s="10"/>
      <c r="Q427" s="9"/>
      <c r="R427" s="9"/>
      <c r="S427" s="13"/>
      <c r="T427" s="35"/>
      <c r="U427" s="35"/>
      <c r="V427" s="35"/>
      <c r="W427" s="35"/>
      <c r="X427" s="9"/>
      <c r="Y427" s="35"/>
      <c r="Z427" s="9"/>
      <c r="AA427" s="9"/>
    </row>
    <row r="428" spans="1:27" s="61" customFormat="1" x14ac:dyDescent="0.25">
      <c r="A428" s="9"/>
      <c r="B428" s="10"/>
      <c r="C428" s="2"/>
      <c r="D428" s="12"/>
      <c r="E428" s="10"/>
      <c r="F428" s="11"/>
      <c r="G428" s="11"/>
      <c r="H428" s="36"/>
      <c r="I428" s="36"/>
      <c r="J428" s="36"/>
      <c r="K428" s="36"/>
      <c r="L428" s="36"/>
      <c r="M428" s="36"/>
      <c r="N428" s="36"/>
      <c r="O428" s="10"/>
      <c r="P428" s="10"/>
      <c r="Q428" s="9"/>
      <c r="R428" s="9"/>
      <c r="S428" s="13"/>
      <c r="T428" s="35"/>
      <c r="U428" s="35"/>
      <c r="V428" s="35"/>
      <c r="W428" s="35"/>
      <c r="X428" s="9"/>
      <c r="Y428" s="35"/>
      <c r="Z428" s="9"/>
      <c r="AA428" s="9"/>
    </row>
    <row r="429" spans="1:27" s="61" customFormat="1" x14ac:dyDescent="0.25">
      <c r="A429" s="9"/>
      <c r="B429" s="10"/>
      <c r="C429" s="2"/>
      <c r="D429" s="12"/>
      <c r="E429" s="10"/>
      <c r="F429" s="11"/>
      <c r="G429" s="11"/>
      <c r="H429" s="36"/>
      <c r="I429" s="36"/>
      <c r="J429" s="36"/>
      <c r="K429" s="36"/>
      <c r="L429" s="36"/>
      <c r="M429" s="36"/>
      <c r="N429" s="36"/>
      <c r="O429" s="10"/>
      <c r="P429" s="10"/>
      <c r="Q429" s="9"/>
      <c r="R429" s="9"/>
      <c r="S429" s="13"/>
      <c r="T429" s="35"/>
      <c r="U429" s="35"/>
      <c r="V429" s="35"/>
      <c r="W429" s="35"/>
      <c r="X429" s="9"/>
      <c r="Y429" s="35"/>
      <c r="Z429" s="9"/>
      <c r="AA429" s="9"/>
    </row>
    <row r="430" spans="1:27" s="61" customFormat="1" x14ac:dyDescent="0.25">
      <c r="A430" s="9"/>
      <c r="B430" s="10"/>
      <c r="C430" s="2"/>
      <c r="D430" s="12"/>
      <c r="E430" s="10"/>
      <c r="F430" s="11"/>
      <c r="G430" s="11"/>
      <c r="H430" s="36"/>
      <c r="I430" s="36"/>
      <c r="J430" s="36"/>
      <c r="K430" s="36"/>
      <c r="L430" s="36"/>
      <c r="M430" s="36"/>
      <c r="N430" s="36"/>
      <c r="O430" s="10"/>
      <c r="P430" s="10"/>
      <c r="Q430" s="9"/>
      <c r="R430" s="9"/>
      <c r="S430" s="13"/>
      <c r="T430" s="35"/>
      <c r="U430" s="35"/>
      <c r="V430" s="35"/>
      <c r="W430" s="35"/>
      <c r="X430" s="9"/>
      <c r="Y430" s="35"/>
      <c r="Z430" s="9"/>
      <c r="AA430" s="9"/>
    </row>
    <row r="431" spans="1:27" s="61" customFormat="1" x14ac:dyDescent="0.25">
      <c r="A431" s="9"/>
      <c r="B431" s="10"/>
      <c r="C431" s="2"/>
      <c r="D431" s="12"/>
      <c r="E431" s="10"/>
      <c r="F431" s="11"/>
      <c r="G431" s="11"/>
      <c r="H431" s="36"/>
      <c r="I431" s="36"/>
      <c r="J431" s="36"/>
      <c r="K431" s="36"/>
      <c r="L431" s="36"/>
      <c r="M431" s="36"/>
      <c r="N431" s="36"/>
      <c r="O431" s="10"/>
      <c r="P431" s="10"/>
      <c r="Q431" s="9"/>
      <c r="R431" s="9"/>
      <c r="S431" s="13"/>
      <c r="T431" s="35"/>
      <c r="U431" s="35"/>
      <c r="V431" s="35"/>
      <c r="W431" s="35"/>
      <c r="X431" s="9"/>
      <c r="Y431" s="35"/>
      <c r="Z431" s="9"/>
      <c r="AA431" s="9"/>
    </row>
    <row r="432" spans="1:27" s="61" customFormat="1" x14ac:dyDescent="0.25">
      <c r="A432" s="9"/>
      <c r="B432" s="10"/>
      <c r="C432" s="2"/>
      <c r="D432" s="12"/>
      <c r="E432" s="10"/>
      <c r="F432" s="11"/>
      <c r="G432" s="11"/>
      <c r="H432" s="36"/>
      <c r="I432" s="36"/>
      <c r="J432" s="36"/>
      <c r="K432" s="36"/>
      <c r="L432" s="36"/>
      <c r="M432" s="36"/>
      <c r="N432" s="36"/>
      <c r="O432" s="10"/>
      <c r="P432" s="10"/>
      <c r="Q432" s="9"/>
      <c r="R432" s="9"/>
      <c r="S432" s="13"/>
      <c r="T432" s="35"/>
      <c r="U432" s="35"/>
      <c r="V432" s="35"/>
      <c r="W432" s="35"/>
      <c r="X432" s="9"/>
      <c r="Y432" s="35"/>
      <c r="Z432" s="9"/>
      <c r="AA432" s="9"/>
    </row>
    <row r="433" spans="1:27" s="61" customFormat="1" x14ac:dyDescent="0.25">
      <c r="A433" s="9"/>
      <c r="B433" s="10"/>
      <c r="C433" s="2"/>
      <c r="D433" s="12"/>
      <c r="E433" s="10"/>
      <c r="F433" s="11"/>
      <c r="G433" s="11"/>
      <c r="H433" s="36"/>
      <c r="I433" s="36"/>
      <c r="J433" s="36"/>
      <c r="K433" s="36"/>
      <c r="L433" s="36"/>
      <c r="M433" s="36"/>
      <c r="N433" s="36"/>
      <c r="O433" s="10"/>
      <c r="P433" s="10"/>
      <c r="Q433" s="9"/>
      <c r="R433" s="9"/>
      <c r="S433" s="13"/>
      <c r="T433" s="35"/>
      <c r="U433" s="35"/>
      <c r="V433" s="35"/>
      <c r="W433" s="35"/>
      <c r="X433" s="9"/>
      <c r="Y433" s="35"/>
      <c r="Z433" s="9"/>
      <c r="AA433" s="9"/>
    </row>
    <row r="434" spans="1:27" s="61" customFormat="1" x14ac:dyDescent="0.25">
      <c r="A434" s="9"/>
      <c r="B434" s="10"/>
      <c r="C434" s="2"/>
      <c r="D434" s="12"/>
      <c r="E434" s="10"/>
      <c r="F434" s="11"/>
      <c r="G434" s="11"/>
      <c r="H434" s="36"/>
      <c r="I434" s="36"/>
      <c r="J434" s="36"/>
      <c r="K434" s="36"/>
      <c r="L434" s="36"/>
      <c r="M434" s="36"/>
      <c r="N434" s="36"/>
      <c r="O434" s="10"/>
      <c r="P434" s="10"/>
      <c r="Q434" s="9"/>
      <c r="R434" s="9"/>
      <c r="S434" s="13"/>
      <c r="T434" s="35"/>
      <c r="U434" s="35"/>
      <c r="V434" s="35"/>
      <c r="W434" s="35"/>
      <c r="X434" s="9"/>
      <c r="Y434" s="35"/>
      <c r="Z434" s="9"/>
      <c r="AA434" s="9"/>
    </row>
    <row r="435" spans="1:27" s="61" customFormat="1" x14ac:dyDescent="0.25">
      <c r="A435" s="9"/>
      <c r="B435" s="10"/>
      <c r="C435" s="2"/>
      <c r="D435" s="12"/>
      <c r="E435" s="10"/>
      <c r="F435" s="11"/>
      <c r="G435" s="11"/>
      <c r="H435" s="36"/>
      <c r="I435" s="36"/>
      <c r="J435" s="36"/>
      <c r="K435" s="36"/>
      <c r="L435" s="36"/>
      <c r="M435" s="36"/>
      <c r="N435" s="36"/>
      <c r="O435" s="10"/>
      <c r="P435" s="10"/>
      <c r="Q435" s="9"/>
      <c r="R435" s="9"/>
      <c r="S435" s="13"/>
      <c r="T435" s="35"/>
      <c r="U435" s="35"/>
      <c r="V435" s="35"/>
      <c r="W435" s="35"/>
      <c r="X435" s="9"/>
      <c r="Y435" s="35"/>
      <c r="Z435" s="9"/>
      <c r="AA435" s="9"/>
    </row>
    <row r="436" spans="1:27" s="61" customFormat="1" x14ac:dyDescent="0.25">
      <c r="A436" s="9"/>
      <c r="B436" s="10"/>
      <c r="C436" s="2"/>
      <c r="D436" s="12"/>
      <c r="E436" s="10"/>
      <c r="F436" s="11"/>
      <c r="G436" s="11"/>
      <c r="H436" s="36"/>
      <c r="I436" s="36"/>
      <c r="J436" s="36"/>
      <c r="K436" s="36"/>
      <c r="L436" s="36"/>
      <c r="M436" s="36"/>
      <c r="N436" s="36"/>
      <c r="O436" s="10"/>
      <c r="P436" s="10"/>
      <c r="Q436" s="9"/>
      <c r="R436" s="9"/>
      <c r="S436" s="13"/>
      <c r="T436" s="35"/>
      <c r="U436" s="35"/>
      <c r="V436" s="35"/>
      <c r="W436" s="35"/>
      <c r="X436" s="9"/>
      <c r="Y436" s="35"/>
      <c r="Z436" s="9"/>
      <c r="AA436" s="9"/>
    </row>
    <row r="437" spans="1:27" s="61" customFormat="1" x14ac:dyDescent="0.25">
      <c r="A437" s="9"/>
      <c r="B437" s="10"/>
      <c r="C437" s="2"/>
      <c r="D437" s="12"/>
      <c r="E437" s="10"/>
      <c r="F437" s="11"/>
      <c r="G437" s="11"/>
      <c r="H437" s="36"/>
      <c r="I437" s="36"/>
      <c r="J437" s="36"/>
      <c r="K437" s="36"/>
      <c r="L437" s="36"/>
      <c r="M437" s="36"/>
      <c r="N437" s="36"/>
      <c r="O437" s="10"/>
      <c r="P437" s="10"/>
      <c r="Q437" s="9"/>
      <c r="R437" s="9"/>
      <c r="S437" s="13"/>
      <c r="T437" s="35"/>
      <c r="U437" s="35"/>
      <c r="V437" s="35"/>
      <c r="W437" s="35"/>
      <c r="X437" s="9"/>
      <c r="Y437" s="35"/>
      <c r="Z437" s="9"/>
      <c r="AA437" s="9"/>
    </row>
    <row r="438" spans="1:27" s="61" customFormat="1" x14ac:dyDescent="0.25">
      <c r="A438" s="9"/>
      <c r="B438" s="10"/>
      <c r="C438" s="2"/>
      <c r="D438" s="12"/>
      <c r="E438" s="10"/>
      <c r="F438" s="11"/>
      <c r="G438" s="11"/>
      <c r="H438" s="36"/>
      <c r="I438" s="36"/>
      <c r="J438" s="36"/>
      <c r="K438" s="36"/>
      <c r="L438" s="36"/>
      <c r="M438" s="36"/>
      <c r="N438" s="36"/>
      <c r="O438" s="10"/>
      <c r="P438" s="10"/>
      <c r="Q438" s="9"/>
      <c r="R438" s="9"/>
      <c r="S438" s="13"/>
      <c r="T438" s="35"/>
      <c r="U438" s="35"/>
      <c r="V438" s="35"/>
      <c r="W438" s="35"/>
      <c r="X438" s="9"/>
      <c r="Y438" s="35"/>
      <c r="Z438" s="9"/>
      <c r="AA438" s="9"/>
    </row>
    <row r="439" spans="1:27" s="61" customFormat="1" x14ac:dyDescent="0.25">
      <c r="A439" s="9"/>
      <c r="B439" s="10"/>
      <c r="C439" s="2"/>
      <c r="D439" s="12"/>
      <c r="E439" s="10"/>
      <c r="F439" s="11"/>
      <c r="G439" s="11"/>
      <c r="H439" s="36"/>
      <c r="I439" s="36"/>
      <c r="J439" s="36"/>
      <c r="K439" s="36"/>
      <c r="L439" s="36"/>
      <c r="M439" s="36"/>
      <c r="N439" s="36"/>
      <c r="O439" s="10"/>
      <c r="P439" s="10"/>
      <c r="Q439" s="9"/>
      <c r="R439" s="9"/>
      <c r="S439" s="13"/>
      <c r="T439" s="35"/>
      <c r="U439" s="35"/>
      <c r="V439" s="35"/>
      <c r="W439" s="35"/>
      <c r="X439" s="9"/>
      <c r="Y439" s="35"/>
      <c r="Z439" s="9"/>
      <c r="AA439" s="9"/>
    </row>
    <row r="440" spans="1:27" s="61" customFormat="1" x14ac:dyDescent="0.25">
      <c r="A440" s="9"/>
      <c r="B440" s="10"/>
      <c r="C440" s="2"/>
      <c r="D440" s="12"/>
      <c r="E440" s="10"/>
      <c r="F440" s="11"/>
      <c r="G440" s="11"/>
      <c r="H440" s="36"/>
      <c r="I440" s="36"/>
      <c r="J440" s="36"/>
      <c r="K440" s="36"/>
      <c r="L440" s="36"/>
      <c r="M440" s="36"/>
      <c r="N440" s="36"/>
      <c r="O440" s="10"/>
      <c r="P440" s="10"/>
      <c r="Q440" s="9"/>
      <c r="R440" s="9"/>
      <c r="S440" s="13"/>
      <c r="T440" s="35"/>
      <c r="U440" s="35"/>
      <c r="V440" s="35"/>
      <c r="W440" s="35"/>
      <c r="X440" s="9"/>
      <c r="Y440" s="35"/>
      <c r="Z440" s="9"/>
      <c r="AA440" s="9"/>
    </row>
    <row r="441" spans="1:27" s="61" customFormat="1" x14ac:dyDescent="0.25">
      <c r="A441" s="9"/>
      <c r="B441" s="10"/>
      <c r="C441" s="2"/>
      <c r="D441" s="12"/>
      <c r="E441" s="10"/>
      <c r="F441" s="11"/>
      <c r="G441" s="11"/>
      <c r="H441" s="36"/>
      <c r="I441" s="36"/>
      <c r="J441" s="36"/>
      <c r="K441" s="36"/>
      <c r="L441" s="36"/>
      <c r="M441" s="36"/>
      <c r="N441" s="36"/>
      <c r="O441" s="10"/>
      <c r="P441" s="10"/>
      <c r="Q441" s="9"/>
      <c r="R441" s="9"/>
      <c r="S441" s="13"/>
      <c r="T441" s="35"/>
      <c r="U441" s="35"/>
      <c r="V441" s="35"/>
      <c r="W441" s="35"/>
      <c r="X441" s="9"/>
      <c r="Y441" s="35"/>
      <c r="Z441" s="9"/>
      <c r="AA441" s="9"/>
    </row>
    <row r="442" spans="1:27" s="61" customFormat="1" x14ac:dyDescent="0.25">
      <c r="A442" s="9"/>
      <c r="B442" s="10"/>
      <c r="C442" s="2"/>
      <c r="D442" s="12"/>
      <c r="E442" s="10"/>
      <c r="F442" s="11"/>
      <c r="G442" s="11"/>
      <c r="H442" s="36"/>
      <c r="I442" s="36"/>
      <c r="J442" s="36"/>
      <c r="K442" s="36"/>
      <c r="L442" s="36"/>
      <c r="M442" s="36"/>
      <c r="N442" s="36"/>
      <c r="O442" s="10"/>
      <c r="P442" s="10"/>
      <c r="Q442" s="9"/>
      <c r="R442" s="9"/>
      <c r="S442" s="13"/>
      <c r="T442" s="35"/>
      <c r="U442" s="35"/>
      <c r="V442" s="35"/>
      <c r="W442" s="35"/>
      <c r="X442" s="9"/>
      <c r="Y442" s="35"/>
      <c r="Z442" s="9"/>
      <c r="AA442" s="9"/>
    </row>
    <row r="443" spans="1:27" s="61" customFormat="1" x14ac:dyDescent="0.25">
      <c r="A443" s="9"/>
      <c r="B443" s="10"/>
      <c r="C443" s="2"/>
      <c r="D443" s="12"/>
      <c r="E443" s="10"/>
      <c r="F443" s="11"/>
      <c r="G443" s="11"/>
      <c r="H443" s="36"/>
      <c r="I443" s="36"/>
      <c r="J443" s="36"/>
      <c r="K443" s="36"/>
      <c r="L443" s="36"/>
      <c r="M443" s="36"/>
      <c r="N443" s="36"/>
      <c r="O443" s="10"/>
      <c r="P443" s="10"/>
      <c r="Q443" s="9"/>
      <c r="R443" s="9"/>
      <c r="S443" s="13"/>
      <c r="T443" s="35"/>
      <c r="U443" s="35"/>
      <c r="V443" s="35"/>
      <c r="W443" s="35"/>
      <c r="X443" s="9"/>
      <c r="Y443" s="35"/>
      <c r="Z443" s="9"/>
      <c r="AA443" s="9"/>
    </row>
    <row r="444" spans="1:27" s="61" customFormat="1" x14ac:dyDescent="0.25">
      <c r="A444" s="9"/>
      <c r="B444" s="10"/>
      <c r="C444" s="2"/>
      <c r="D444" s="12"/>
      <c r="E444" s="10"/>
      <c r="F444" s="11"/>
      <c r="G444" s="11"/>
      <c r="H444" s="36"/>
      <c r="I444" s="36"/>
      <c r="J444" s="36"/>
      <c r="K444" s="36"/>
      <c r="L444" s="36"/>
      <c r="M444" s="36"/>
      <c r="N444" s="36"/>
      <c r="O444" s="10"/>
      <c r="P444" s="10"/>
      <c r="Q444" s="9"/>
      <c r="R444" s="9"/>
      <c r="S444" s="13"/>
      <c r="T444" s="35"/>
      <c r="U444" s="35"/>
      <c r="V444" s="35"/>
      <c r="W444" s="35"/>
      <c r="X444" s="9"/>
      <c r="Y444" s="35"/>
      <c r="Z444" s="9"/>
      <c r="AA444" s="9"/>
    </row>
    <row r="445" spans="1:27" s="61" customFormat="1" x14ac:dyDescent="0.25">
      <c r="A445" s="9"/>
      <c r="B445" s="10"/>
      <c r="C445" s="2"/>
      <c r="D445" s="12"/>
      <c r="E445" s="10"/>
      <c r="F445" s="11"/>
      <c r="G445" s="11"/>
      <c r="H445" s="36"/>
      <c r="I445" s="36"/>
      <c r="J445" s="36"/>
      <c r="K445" s="36"/>
      <c r="L445" s="36"/>
      <c r="M445" s="36"/>
      <c r="N445" s="36"/>
      <c r="O445" s="10"/>
      <c r="P445" s="10"/>
      <c r="Q445" s="9"/>
      <c r="R445" s="9"/>
      <c r="S445" s="13"/>
      <c r="T445" s="35"/>
      <c r="U445" s="35"/>
      <c r="V445" s="35"/>
      <c r="W445" s="35"/>
      <c r="X445" s="9"/>
      <c r="Y445" s="35"/>
      <c r="Z445" s="9"/>
      <c r="AA445" s="9"/>
    </row>
    <row r="446" spans="1:27" s="61" customFormat="1" x14ac:dyDescent="0.25">
      <c r="A446" s="9"/>
      <c r="B446" s="10"/>
      <c r="C446" s="2"/>
      <c r="D446" s="12"/>
      <c r="E446" s="10"/>
      <c r="F446" s="11"/>
      <c r="G446" s="11"/>
      <c r="H446" s="36"/>
      <c r="I446" s="36"/>
      <c r="J446" s="36"/>
      <c r="K446" s="36"/>
      <c r="L446" s="36"/>
      <c r="M446" s="36"/>
      <c r="N446" s="36"/>
      <c r="O446" s="10"/>
      <c r="P446" s="10"/>
      <c r="Q446" s="9"/>
      <c r="R446" s="9"/>
      <c r="S446" s="13"/>
      <c r="T446" s="35"/>
      <c r="U446" s="35"/>
      <c r="V446" s="35"/>
      <c r="W446" s="35"/>
      <c r="X446" s="9"/>
      <c r="Y446" s="35"/>
      <c r="Z446" s="9"/>
      <c r="AA446" s="9"/>
    </row>
    <row r="447" spans="1:27" s="61" customFormat="1" x14ac:dyDescent="0.25">
      <c r="A447" s="9"/>
      <c r="B447" s="10"/>
      <c r="C447" s="2"/>
      <c r="D447" s="12"/>
      <c r="E447" s="10"/>
      <c r="F447" s="11"/>
      <c r="G447" s="11"/>
      <c r="H447" s="36"/>
      <c r="I447" s="36"/>
      <c r="J447" s="36"/>
      <c r="K447" s="36"/>
      <c r="L447" s="36"/>
      <c r="M447" s="36"/>
      <c r="N447" s="36"/>
      <c r="O447" s="10"/>
      <c r="P447" s="10"/>
      <c r="Q447" s="9"/>
      <c r="R447" s="9"/>
      <c r="S447" s="13"/>
      <c r="T447" s="35"/>
      <c r="U447" s="35"/>
      <c r="V447" s="35"/>
      <c r="W447" s="35"/>
      <c r="X447" s="9"/>
      <c r="Y447" s="35"/>
      <c r="Z447" s="9"/>
      <c r="AA447" s="9"/>
    </row>
    <row r="448" spans="1:27" s="61" customFormat="1" x14ac:dyDescent="0.25">
      <c r="A448" s="9"/>
      <c r="B448" s="10"/>
      <c r="C448" s="2"/>
      <c r="D448" s="12"/>
      <c r="E448" s="10"/>
      <c r="F448" s="11"/>
      <c r="G448" s="11"/>
      <c r="H448" s="36"/>
      <c r="I448" s="36"/>
      <c r="J448" s="36"/>
      <c r="K448" s="36"/>
      <c r="L448" s="36"/>
      <c r="M448" s="36"/>
      <c r="N448" s="36"/>
      <c r="O448" s="10"/>
      <c r="P448" s="10"/>
      <c r="Q448" s="9"/>
      <c r="R448" s="9"/>
      <c r="S448" s="13"/>
      <c r="T448" s="35"/>
      <c r="U448" s="35"/>
      <c r="V448" s="35"/>
      <c r="W448" s="35"/>
      <c r="X448" s="9"/>
      <c r="Y448" s="35"/>
      <c r="Z448" s="9"/>
      <c r="AA448" s="9"/>
    </row>
    <row r="449" spans="1:27" s="61" customFormat="1" x14ac:dyDescent="0.25">
      <c r="A449" s="9"/>
      <c r="B449" s="10"/>
      <c r="C449" s="2"/>
      <c r="D449" s="12"/>
      <c r="E449" s="10"/>
      <c r="F449" s="11"/>
      <c r="G449" s="11"/>
      <c r="H449" s="36"/>
      <c r="I449" s="36"/>
      <c r="J449" s="36"/>
      <c r="K449" s="36"/>
      <c r="L449" s="36"/>
      <c r="M449" s="36"/>
      <c r="N449" s="36"/>
      <c r="O449" s="10"/>
      <c r="P449" s="10"/>
      <c r="Q449" s="9"/>
      <c r="R449" s="9"/>
      <c r="S449" s="13"/>
      <c r="T449" s="35"/>
      <c r="U449" s="35"/>
      <c r="V449" s="35"/>
      <c r="W449" s="35"/>
      <c r="X449" s="9"/>
      <c r="Y449" s="35"/>
      <c r="Z449" s="9"/>
      <c r="AA449" s="9"/>
    </row>
    <row r="450" spans="1:27" s="61" customFormat="1" x14ac:dyDescent="0.25">
      <c r="A450" s="9"/>
      <c r="B450" s="10"/>
      <c r="C450" s="2"/>
      <c r="D450" s="12"/>
      <c r="E450" s="10"/>
      <c r="F450" s="11"/>
      <c r="G450" s="11"/>
      <c r="H450" s="36"/>
      <c r="I450" s="36"/>
      <c r="J450" s="36"/>
      <c r="K450" s="36"/>
      <c r="L450" s="36"/>
      <c r="M450" s="36"/>
      <c r="N450" s="36"/>
      <c r="O450" s="10"/>
      <c r="P450" s="10"/>
      <c r="Q450" s="9"/>
      <c r="R450" s="9"/>
      <c r="S450" s="13"/>
      <c r="T450" s="35"/>
      <c r="U450" s="35"/>
      <c r="V450" s="35"/>
      <c r="W450" s="35"/>
      <c r="X450" s="9"/>
      <c r="Y450" s="35"/>
      <c r="Z450" s="9"/>
      <c r="AA450" s="9"/>
    </row>
    <row r="451" spans="1:27" s="61" customFormat="1" x14ac:dyDescent="0.25">
      <c r="A451" s="9"/>
      <c r="B451" s="10"/>
      <c r="C451" s="2"/>
      <c r="D451" s="12"/>
      <c r="E451" s="10"/>
      <c r="F451" s="11"/>
      <c r="G451" s="11"/>
      <c r="H451" s="36"/>
      <c r="I451" s="36"/>
      <c r="J451" s="36"/>
      <c r="K451" s="36"/>
      <c r="L451" s="36"/>
      <c r="M451" s="36"/>
      <c r="N451" s="36"/>
      <c r="O451" s="10"/>
      <c r="P451" s="10"/>
      <c r="Q451" s="9"/>
      <c r="R451" s="9"/>
      <c r="S451" s="13"/>
      <c r="T451" s="35"/>
      <c r="U451" s="35"/>
      <c r="V451" s="35"/>
      <c r="W451" s="35"/>
      <c r="X451" s="9"/>
      <c r="Y451" s="35"/>
      <c r="Z451" s="9"/>
      <c r="AA451" s="9"/>
    </row>
    <row r="452" spans="1:27" s="61" customFormat="1" x14ac:dyDescent="0.25">
      <c r="A452" s="9"/>
      <c r="B452" s="10"/>
      <c r="C452" s="2"/>
      <c r="D452" s="12"/>
      <c r="E452" s="10"/>
      <c r="F452" s="11"/>
      <c r="G452" s="11"/>
      <c r="H452" s="36"/>
      <c r="I452" s="36"/>
      <c r="J452" s="36"/>
      <c r="K452" s="36"/>
      <c r="L452" s="36"/>
      <c r="M452" s="36"/>
      <c r="N452" s="36"/>
      <c r="O452" s="10"/>
      <c r="P452" s="10"/>
      <c r="Q452" s="9"/>
      <c r="R452" s="9"/>
      <c r="S452" s="13"/>
      <c r="T452" s="35"/>
      <c r="U452" s="35"/>
      <c r="V452" s="35"/>
      <c r="W452" s="35"/>
      <c r="X452" s="9"/>
      <c r="Y452" s="35"/>
      <c r="Z452" s="9"/>
      <c r="AA452" s="9"/>
    </row>
    <row r="453" spans="1:27" s="61" customFormat="1" x14ac:dyDescent="0.25">
      <c r="A453" s="9"/>
      <c r="B453" s="10"/>
      <c r="C453" s="2"/>
      <c r="D453" s="12"/>
      <c r="E453" s="10"/>
      <c r="F453" s="11"/>
      <c r="G453" s="11"/>
      <c r="H453" s="36"/>
      <c r="I453" s="36"/>
      <c r="J453" s="36"/>
      <c r="K453" s="36"/>
      <c r="L453" s="36"/>
      <c r="M453" s="36"/>
      <c r="N453" s="36"/>
      <c r="O453" s="10"/>
      <c r="P453" s="10"/>
      <c r="Q453" s="9"/>
      <c r="R453" s="9"/>
      <c r="S453" s="13"/>
      <c r="T453" s="35"/>
      <c r="U453" s="35"/>
      <c r="V453" s="35"/>
      <c r="W453" s="35"/>
      <c r="X453" s="9"/>
      <c r="Y453" s="35"/>
      <c r="Z453" s="9"/>
      <c r="AA453" s="9"/>
    </row>
    <row r="454" spans="1:27" s="61" customFormat="1" x14ac:dyDescent="0.25">
      <c r="A454" s="9"/>
      <c r="B454" s="10"/>
      <c r="C454" s="2"/>
      <c r="D454" s="12"/>
      <c r="E454" s="10"/>
      <c r="F454" s="11"/>
      <c r="G454" s="11"/>
      <c r="H454" s="36"/>
      <c r="I454" s="36"/>
      <c r="J454" s="36"/>
      <c r="K454" s="36"/>
      <c r="L454" s="36"/>
      <c r="M454" s="36"/>
      <c r="N454" s="36"/>
      <c r="O454" s="10"/>
      <c r="P454" s="10"/>
      <c r="Q454" s="9"/>
      <c r="R454" s="9"/>
      <c r="S454" s="13"/>
      <c r="T454" s="35"/>
      <c r="U454" s="35"/>
      <c r="V454" s="35"/>
      <c r="W454" s="35"/>
      <c r="X454" s="9"/>
      <c r="Y454" s="35"/>
      <c r="Z454" s="9"/>
      <c r="AA454" s="9"/>
    </row>
    <row r="455" spans="1:27" s="61" customFormat="1" x14ac:dyDescent="0.25">
      <c r="A455" s="9"/>
      <c r="B455" s="10"/>
      <c r="C455" s="2"/>
      <c r="D455" s="12"/>
      <c r="E455" s="10"/>
      <c r="F455" s="11"/>
      <c r="G455" s="11"/>
      <c r="H455" s="36"/>
      <c r="I455" s="36"/>
      <c r="J455" s="36"/>
      <c r="K455" s="36"/>
      <c r="L455" s="36"/>
      <c r="M455" s="36"/>
      <c r="N455" s="36"/>
      <c r="O455" s="10"/>
      <c r="P455" s="10"/>
      <c r="Q455" s="9"/>
      <c r="R455" s="9"/>
      <c r="S455" s="13"/>
      <c r="T455" s="35"/>
      <c r="U455" s="35"/>
      <c r="V455" s="35"/>
      <c r="W455" s="35"/>
      <c r="X455" s="9"/>
      <c r="Y455" s="35"/>
      <c r="Z455" s="9"/>
      <c r="AA455" s="9"/>
    </row>
    <row r="456" spans="1:27" s="61" customFormat="1" x14ac:dyDescent="0.25">
      <c r="A456" s="9"/>
      <c r="B456" s="10"/>
      <c r="C456" s="2"/>
      <c r="D456" s="12"/>
      <c r="E456" s="10"/>
      <c r="F456" s="11"/>
      <c r="G456" s="11"/>
      <c r="H456" s="36"/>
      <c r="I456" s="36"/>
      <c r="J456" s="36"/>
      <c r="K456" s="36"/>
      <c r="L456" s="36"/>
      <c r="M456" s="36"/>
      <c r="N456" s="36"/>
      <c r="O456" s="10"/>
      <c r="P456" s="10"/>
      <c r="Q456" s="9"/>
      <c r="R456" s="9"/>
      <c r="S456" s="13"/>
      <c r="T456" s="35"/>
      <c r="U456" s="35"/>
      <c r="V456" s="35"/>
      <c r="W456" s="35"/>
      <c r="X456" s="9"/>
      <c r="Y456" s="35"/>
      <c r="Z456" s="9"/>
      <c r="AA456" s="9"/>
    </row>
    <row r="457" spans="1:27" s="61" customFormat="1" x14ac:dyDescent="0.25">
      <c r="A457" s="9"/>
      <c r="B457" s="10"/>
      <c r="C457" s="2"/>
      <c r="D457" s="12"/>
      <c r="E457" s="10"/>
      <c r="F457" s="11"/>
      <c r="G457" s="11"/>
      <c r="H457" s="36"/>
      <c r="I457" s="36"/>
      <c r="J457" s="36"/>
      <c r="K457" s="36"/>
      <c r="L457" s="36"/>
      <c r="M457" s="36"/>
      <c r="N457" s="36"/>
      <c r="O457" s="10"/>
      <c r="P457" s="10"/>
      <c r="Q457" s="9"/>
      <c r="R457" s="9"/>
      <c r="S457" s="13"/>
      <c r="T457" s="35"/>
      <c r="U457" s="35"/>
      <c r="V457" s="35"/>
      <c r="W457" s="35"/>
      <c r="X457" s="9"/>
      <c r="Y457" s="35"/>
      <c r="Z457" s="9"/>
      <c r="AA457" s="9"/>
    </row>
    <row r="458" spans="1:27" s="61" customFormat="1" x14ac:dyDescent="0.25">
      <c r="A458" s="9"/>
      <c r="B458" s="10"/>
      <c r="C458" s="2"/>
      <c r="D458" s="12"/>
      <c r="E458" s="10"/>
      <c r="F458" s="11"/>
      <c r="G458" s="11"/>
      <c r="H458" s="36"/>
      <c r="I458" s="36"/>
      <c r="J458" s="36"/>
      <c r="K458" s="36"/>
      <c r="L458" s="36"/>
      <c r="M458" s="36"/>
      <c r="N458" s="36"/>
      <c r="O458" s="10"/>
      <c r="P458" s="10"/>
      <c r="Q458" s="9"/>
      <c r="R458" s="9"/>
      <c r="S458" s="13"/>
      <c r="T458" s="35"/>
      <c r="U458" s="35"/>
      <c r="V458" s="35"/>
      <c r="W458" s="35"/>
      <c r="X458" s="9"/>
      <c r="Y458" s="35"/>
      <c r="Z458" s="9"/>
      <c r="AA458" s="9"/>
    </row>
    <row r="459" spans="1:27" s="61" customFormat="1" x14ac:dyDescent="0.25">
      <c r="A459" s="9"/>
      <c r="B459" s="10"/>
      <c r="C459" s="2"/>
      <c r="D459" s="12"/>
      <c r="E459" s="10"/>
      <c r="F459" s="11"/>
      <c r="G459" s="11"/>
      <c r="H459" s="36"/>
      <c r="I459" s="36"/>
      <c r="J459" s="36"/>
      <c r="K459" s="36"/>
      <c r="L459" s="36"/>
      <c r="M459" s="36"/>
      <c r="N459" s="36"/>
      <c r="O459" s="10"/>
      <c r="P459" s="10"/>
      <c r="Q459" s="9"/>
      <c r="R459" s="9"/>
      <c r="S459" s="13"/>
      <c r="T459" s="35"/>
      <c r="U459" s="35"/>
      <c r="V459" s="35"/>
      <c r="W459" s="35"/>
      <c r="X459" s="9"/>
      <c r="Y459" s="35"/>
      <c r="Z459" s="9"/>
      <c r="AA459" s="9"/>
    </row>
    <row r="460" spans="1:27" s="61" customFormat="1" x14ac:dyDescent="0.25">
      <c r="A460" s="9"/>
      <c r="B460" s="10"/>
      <c r="C460" s="2"/>
      <c r="D460" s="12"/>
      <c r="E460" s="10"/>
      <c r="F460" s="11"/>
      <c r="G460" s="11"/>
      <c r="H460" s="36"/>
      <c r="I460" s="36"/>
      <c r="J460" s="36"/>
      <c r="K460" s="36"/>
      <c r="L460" s="36"/>
      <c r="M460" s="36"/>
      <c r="N460" s="36"/>
      <c r="O460" s="10"/>
      <c r="P460" s="10"/>
      <c r="Q460" s="9"/>
      <c r="R460" s="9"/>
      <c r="S460" s="13"/>
      <c r="T460" s="35"/>
      <c r="U460" s="35"/>
      <c r="V460" s="35"/>
      <c r="W460" s="35"/>
      <c r="X460" s="9"/>
      <c r="Y460" s="35"/>
      <c r="Z460" s="9"/>
      <c r="AA460" s="9"/>
    </row>
    <row r="461" spans="1:27" s="61" customFormat="1" x14ac:dyDescent="0.25">
      <c r="A461" s="9"/>
      <c r="B461" s="10"/>
      <c r="C461" s="2"/>
      <c r="D461" s="12"/>
      <c r="E461" s="10"/>
      <c r="F461" s="11"/>
      <c r="G461" s="11"/>
      <c r="H461" s="36"/>
      <c r="I461" s="36"/>
      <c r="J461" s="36"/>
      <c r="K461" s="36"/>
      <c r="L461" s="36"/>
      <c r="M461" s="36"/>
      <c r="N461" s="36"/>
      <c r="O461" s="10"/>
      <c r="P461" s="10"/>
      <c r="Q461" s="9"/>
      <c r="R461" s="9"/>
      <c r="S461" s="13"/>
      <c r="T461" s="35"/>
      <c r="U461" s="35"/>
      <c r="V461" s="35"/>
      <c r="W461" s="35"/>
      <c r="X461" s="9"/>
      <c r="Y461" s="35"/>
      <c r="Z461" s="9"/>
      <c r="AA461" s="9"/>
    </row>
    <row r="462" spans="1:27" s="61" customFormat="1" x14ac:dyDescent="0.25">
      <c r="A462" s="9"/>
      <c r="B462" s="10"/>
      <c r="C462" s="2"/>
      <c r="D462" s="12"/>
      <c r="E462" s="10"/>
      <c r="F462" s="11"/>
      <c r="G462" s="11"/>
      <c r="H462" s="36"/>
      <c r="I462" s="36"/>
      <c r="J462" s="36"/>
      <c r="K462" s="36"/>
      <c r="L462" s="36"/>
      <c r="M462" s="36"/>
      <c r="N462" s="36"/>
      <c r="O462" s="10"/>
      <c r="P462" s="10"/>
      <c r="Q462" s="9"/>
      <c r="R462" s="9"/>
      <c r="S462" s="13"/>
      <c r="T462" s="35"/>
      <c r="U462" s="35"/>
      <c r="V462" s="35"/>
      <c r="W462" s="35"/>
      <c r="X462" s="9"/>
      <c r="Y462" s="35"/>
      <c r="Z462" s="9"/>
      <c r="AA462" s="9"/>
    </row>
    <row r="463" spans="1:27" s="61" customFormat="1" x14ac:dyDescent="0.25">
      <c r="A463" s="9"/>
      <c r="B463" s="10"/>
      <c r="C463" s="2"/>
      <c r="D463" s="12"/>
      <c r="E463" s="10"/>
      <c r="F463" s="11"/>
      <c r="G463" s="11"/>
      <c r="H463" s="36"/>
      <c r="I463" s="36"/>
      <c r="J463" s="36"/>
      <c r="K463" s="36"/>
      <c r="L463" s="36"/>
      <c r="M463" s="36"/>
      <c r="N463" s="36"/>
      <c r="O463" s="10"/>
      <c r="P463" s="10"/>
      <c r="Q463" s="9"/>
      <c r="R463" s="9"/>
      <c r="S463" s="13"/>
      <c r="T463" s="35"/>
      <c r="U463" s="35"/>
      <c r="V463" s="35"/>
      <c r="W463" s="35"/>
      <c r="X463" s="9"/>
      <c r="Y463" s="35"/>
      <c r="Z463" s="9"/>
      <c r="AA463" s="9"/>
    </row>
    <row r="464" spans="1:27" s="61" customFormat="1" x14ac:dyDescent="0.25">
      <c r="A464" s="9"/>
      <c r="B464" s="10"/>
      <c r="C464" s="2"/>
      <c r="D464" s="12"/>
      <c r="E464" s="10"/>
      <c r="F464" s="11"/>
      <c r="G464" s="11"/>
      <c r="H464" s="36"/>
      <c r="I464" s="36"/>
      <c r="J464" s="36"/>
      <c r="K464" s="36"/>
      <c r="L464" s="36"/>
      <c r="M464" s="36"/>
      <c r="N464" s="36"/>
      <c r="O464" s="10"/>
      <c r="P464" s="10"/>
      <c r="Q464" s="9"/>
      <c r="R464" s="9"/>
      <c r="S464" s="13"/>
      <c r="T464" s="35"/>
      <c r="U464" s="35"/>
      <c r="V464" s="35"/>
      <c r="W464" s="35"/>
      <c r="X464" s="9"/>
      <c r="Y464" s="35"/>
      <c r="Z464" s="9"/>
      <c r="AA464" s="9"/>
    </row>
    <row r="465" spans="1:27" s="61" customFormat="1" x14ac:dyDescent="0.25">
      <c r="A465" s="9"/>
      <c r="B465" s="10"/>
      <c r="C465" s="2"/>
      <c r="D465" s="12"/>
      <c r="E465" s="10"/>
      <c r="F465" s="11"/>
      <c r="G465" s="11"/>
      <c r="H465" s="36"/>
      <c r="I465" s="36"/>
      <c r="J465" s="36"/>
      <c r="K465" s="36"/>
      <c r="L465" s="36"/>
      <c r="M465" s="36"/>
      <c r="N465" s="36"/>
      <c r="O465" s="10"/>
      <c r="P465" s="10"/>
      <c r="Q465" s="9"/>
      <c r="R465" s="9"/>
      <c r="S465" s="13"/>
      <c r="T465" s="35"/>
      <c r="U465" s="35"/>
      <c r="V465" s="35"/>
      <c r="W465" s="35"/>
      <c r="X465" s="9"/>
      <c r="Y465" s="35"/>
      <c r="Z465" s="9"/>
      <c r="AA465" s="9"/>
    </row>
    <row r="466" spans="1:27" s="61" customFormat="1" x14ac:dyDescent="0.25">
      <c r="A466" s="9"/>
      <c r="B466" s="10"/>
      <c r="C466" s="2"/>
      <c r="D466" s="12"/>
      <c r="E466" s="10"/>
      <c r="F466" s="11"/>
      <c r="G466" s="11"/>
      <c r="H466" s="36"/>
      <c r="I466" s="36"/>
      <c r="J466" s="36"/>
      <c r="K466" s="36"/>
      <c r="L466" s="36"/>
      <c r="M466" s="36"/>
      <c r="N466" s="36"/>
      <c r="O466" s="10"/>
      <c r="P466" s="10"/>
      <c r="Q466" s="9"/>
      <c r="R466" s="9"/>
      <c r="S466" s="13"/>
      <c r="T466" s="35"/>
      <c r="U466" s="35"/>
      <c r="V466" s="35"/>
      <c r="W466" s="35"/>
      <c r="X466" s="9"/>
      <c r="Y466" s="35"/>
      <c r="Z466" s="9"/>
      <c r="AA466" s="9"/>
    </row>
    <row r="467" spans="1:27" s="61" customFormat="1" x14ac:dyDescent="0.25">
      <c r="A467" s="9"/>
      <c r="B467" s="10"/>
      <c r="C467" s="2"/>
      <c r="D467" s="12"/>
      <c r="E467" s="10"/>
      <c r="F467" s="11"/>
      <c r="G467" s="11"/>
      <c r="H467" s="36"/>
      <c r="I467" s="36"/>
      <c r="J467" s="36"/>
      <c r="K467" s="36"/>
      <c r="L467" s="36"/>
      <c r="M467" s="36"/>
      <c r="N467" s="36"/>
      <c r="O467" s="10"/>
      <c r="P467" s="10"/>
      <c r="Q467" s="9"/>
      <c r="R467" s="9"/>
      <c r="S467" s="13"/>
      <c r="T467" s="35"/>
      <c r="U467" s="35"/>
      <c r="V467" s="35"/>
      <c r="W467" s="35"/>
      <c r="X467" s="9"/>
      <c r="Y467" s="35"/>
      <c r="Z467" s="9"/>
      <c r="AA467" s="9"/>
    </row>
    <row r="468" spans="1:27" s="61" customFormat="1" x14ac:dyDescent="0.25">
      <c r="A468" s="9"/>
      <c r="B468" s="10"/>
      <c r="C468" s="2"/>
      <c r="D468" s="12"/>
      <c r="E468" s="10"/>
      <c r="F468" s="11"/>
      <c r="G468" s="11"/>
      <c r="H468" s="36"/>
      <c r="I468" s="36"/>
      <c r="J468" s="36"/>
      <c r="K468" s="36"/>
      <c r="L468" s="36"/>
      <c r="M468" s="36"/>
      <c r="N468" s="36"/>
      <c r="O468" s="10"/>
      <c r="P468" s="10"/>
      <c r="Q468" s="9"/>
      <c r="R468" s="9"/>
      <c r="S468" s="13"/>
      <c r="T468" s="35"/>
      <c r="U468" s="35"/>
      <c r="V468" s="35"/>
      <c r="W468" s="35"/>
      <c r="X468" s="9"/>
      <c r="Y468" s="35"/>
      <c r="Z468" s="9"/>
      <c r="AA468" s="9"/>
    </row>
    <row r="469" spans="1:27" s="61" customFormat="1" x14ac:dyDescent="0.25">
      <c r="A469" s="9"/>
      <c r="B469" s="10"/>
      <c r="C469" s="2"/>
      <c r="D469" s="12"/>
      <c r="E469" s="10"/>
      <c r="F469" s="11"/>
      <c r="G469" s="11"/>
      <c r="H469" s="36"/>
      <c r="I469" s="36"/>
      <c r="J469" s="36"/>
      <c r="K469" s="36"/>
      <c r="L469" s="36"/>
      <c r="M469" s="36"/>
      <c r="N469" s="36"/>
      <c r="O469" s="10"/>
      <c r="P469" s="10"/>
      <c r="Q469" s="9"/>
      <c r="R469" s="9"/>
      <c r="S469" s="13"/>
      <c r="T469" s="35"/>
      <c r="U469" s="35"/>
      <c r="V469" s="35"/>
      <c r="W469" s="35"/>
      <c r="X469" s="9"/>
      <c r="Y469" s="35"/>
      <c r="Z469" s="9"/>
      <c r="AA469" s="9"/>
    </row>
    <row r="470" spans="1:27" s="61" customFormat="1" x14ac:dyDescent="0.25">
      <c r="A470" s="9"/>
      <c r="B470" s="10"/>
      <c r="C470" s="2"/>
      <c r="D470" s="12"/>
      <c r="E470" s="10"/>
      <c r="F470" s="11"/>
      <c r="G470" s="11"/>
      <c r="H470" s="36"/>
      <c r="I470" s="36"/>
      <c r="J470" s="36"/>
      <c r="K470" s="36"/>
      <c r="L470" s="36"/>
      <c r="M470" s="36"/>
      <c r="N470" s="36"/>
      <c r="O470" s="10"/>
      <c r="P470" s="10"/>
      <c r="Q470" s="9"/>
      <c r="R470" s="9"/>
      <c r="S470" s="13"/>
      <c r="T470" s="35"/>
      <c r="U470" s="35"/>
      <c r="V470" s="35"/>
      <c r="W470" s="35"/>
      <c r="X470" s="9"/>
      <c r="Y470" s="35"/>
      <c r="Z470" s="9"/>
      <c r="AA470" s="9"/>
    </row>
    <row r="471" spans="1:27" s="61" customFormat="1" x14ac:dyDescent="0.25">
      <c r="A471" s="9"/>
      <c r="B471" s="10"/>
      <c r="C471" s="2"/>
      <c r="D471" s="12"/>
      <c r="E471" s="10"/>
      <c r="F471" s="11"/>
      <c r="G471" s="11"/>
      <c r="H471" s="36"/>
      <c r="I471" s="36"/>
      <c r="J471" s="36"/>
      <c r="K471" s="36"/>
      <c r="L471" s="36"/>
      <c r="M471" s="36"/>
      <c r="N471" s="36"/>
      <c r="O471" s="10"/>
      <c r="P471" s="10"/>
      <c r="Q471" s="9"/>
      <c r="R471" s="9"/>
      <c r="S471" s="13"/>
      <c r="T471" s="35"/>
      <c r="U471" s="35"/>
      <c r="V471" s="35"/>
      <c r="W471" s="35"/>
      <c r="X471" s="9"/>
      <c r="Y471" s="35"/>
      <c r="Z471" s="9"/>
      <c r="AA471" s="9"/>
    </row>
    <row r="472" spans="1:27" s="61" customFormat="1" x14ac:dyDescent="0.25">
      <c r="A472" s="9"/>
      <c r="B472" s="10"/>
      <c r="C472" s="2"/>
      <c r="D472" s="12"/>
      <c r="E472" s="10"/>
      <c r="F472" s="11"/>
      <c r="G472" s="11"/>
      <c r="H472" s="36"/>
      <c r="I472" s="36"/>
      <c r="J472" s="36"/>
      <c r="K472" s="36"/>
      <c r="L472" s="36"/>
      <c r="M472" s="36"/>
      <c r="N472" s="36"/>
      <c r="O472" s="10"/>
      <c r="P472" s="10"/>
      <c r="Q472" s="9"/>
      <c r="R472" s="9"/>
      <c r="S472" s="13"/>
      <c r="T472" s="35"/>
      <c r="U472" s="35"/>
      <c r="V472" s="35"/>
      <c r="W472" s="35"/>
      <c r="X472" s="9"/>
      <c r="Y472" s="35"/>
      <c r="Z472" s="9"/>
      <c r="AA472" s="9"/>
    </row>
    <row r="473" spans="1:27" s="61" customFormat="1" x14ac:dyDescent="0.25">
      <c r="A473" s="9"/>
      <c r="B473" s="10"/>
      <c r="C473" s="2"/>
      <c r="D473" s="12"/>
      <c r="E473" s="10"/>
      <c r="F473" s="11"/>
      <c r="G473" s="11"/>
      <c r="H473" s="36"/>
      <c r="I473" s="36"/>
      <c r="J473" s="36"/>
      <c r="K473" s="36"/>
      <c r="L473" s="36"/>
      <c r="M473" s="36"/>
      <c r="N473" s="36"/>
      <c r="O473" s="10"/>
      <c r="P473" s="10"/>
      <c r="Q473" s="9"/>
      <c r="R473" s="9"/>
      <c r="S473" s="13"/>
      <c r="T473" s="35"/>
      <c r="U473" s="35"/>
      <c r="V473" s="35"/>
      <c r="W473" s="35"/>
      <c r="X473" s="9"/>
      <c r="Y473" s="35"/>
      <c r="Z473" s="9"/>
      <c r="AA473" s="9"/>
    </row>
    <row r="474" spans="1:27" s="61" customFormat="1" x14ac:dyDescent="0.25">
      <c r="A474" s="9"/>
      <c r="B474" s="10"/>
      <c r="C474" s="2"/>
      <c r="D474" s="12"/>
      <c r="E474" s="10"/>
      <c r="F474" s="11"/>
      <c r="G474" s="11"/>
      <c r="H474" s="36"/>
      <c r="I474" s="36"/>
      <c r="J474" s="36"/>
      <c r="K474" s="36"/>
      <c r="L474" s="36"/>
      <c r="M474" s="36"/>
      <c r="N474" s="36"/>
      <c r="O474" s="10"/>
      <c r="P474" s="10"/>
      <c r="Q474" s="9"/>
      <c r="R474" s="9"/>
      <c r="S474" s="13"/>
      <c r="T474" s="35"/>
      <c r="U474" s="35"/>
      <c r="V474" s="35"/>
      <c r="W474" s="35"/>
      <c r="X474" s="9"/>
      <c r="Y474" s="35"/>
      <c r="Z474" s="9"/>
      <c r="AA474" s="9"/>
    </row>
    <row r="475" spans="1:27" s="61" customFormat="1" x14ac:dyDescent="0.25">
      <c r="A475" s="9"/>
      <c r="B475" s="10"/>
      <c r="C475" s="2"/>
      <c r="D475" s="12"/>
      <c r="E475" s="10"/>
      <c r="F475" s="11"/>
      <c r="G475" s="11"/>
      <c r="H475" s="36"/>
      <c r="I475" s="36"/>
      <c r="J475" s="36"/>
      <c r="K475" s="36"/>
      <c r="L475" s="36"/>
      <c r="M475" s="36"/>
      <c r="N475" s="36"/>
      <c r="O475" s="10"/>
      <c r="P475" s="10"/>
      <c r="Q475" s="9"/>
      <c r="R475" s="9"/>
      <c r="S475" s="13"/>
      <c r="T475" s="35"/>
      <c r="U475" s="35"/>
      <c r="V475" s="35"/>
      <c r="W475" s="35"/>
      <c r="X475" s="9"/>
      <c r="Y475" s="35"/>
      <c r="Z475" s="9"/>
      <c r="AA475" s="9"/>
    </row>
    <row r="476" spans="1:27" s="61" customFormat="1" x14ac:dyDescent="0.25">
      <c r="A476" s="9"/>
      <c r="B476" s="10"/>
      <c r="C476" s="2"/>
      <c r="D476" s="12"/>
      <c r="E476" s="10"/>
      <c r="F476" s="11"/>
      <c r="G476" s="11"/>
      <c r="H476" s="36"/>
      <c r="I476" s="36"/>
      <c r="J476" s="36"/>
      <c r="K476" s="36"/>
      <c r="L476" s="36"/>
      <c r="M476" s="36"/>
      <c r="N476" s="36"/>
      <c r="O476" s="10"/>
      <c r="P476" s="10"/>
      <c r="Q476" s="9"/>
      <c r="R476" s="9"/>
      <c r="S476" s="13"/>
      <c r="T476" s="35"/>
      <c r="U476" s="35"/>
      <c r="V476" s="35"/>
      <c r="W476" s="35"/>
      <c r="X476" s="9"/>
      <c r="Y476" s="35"/>
      <c r="Z476" s="9"/>
      <c r="AA476" s="9"/>
    </row>
    <row r="477" spans="1:27" s="61" customFormat="1" x14ac:dyDescent="0.25">
      <c r="A477" s="9"/>
      <c r="B477" s="10"/>
      <c r="C477" s="2"/>
      <c r="D477" s="12"/>
      <c r="E477" s="10"/>
      <c r="F477" s="11"/>
      <c r="G477" s="11"/>
      <c r="H477" s="36"/>
      <c r="I477" s="36"/>
      <c r="J477" s="36"/>
      <c r="K477" s="36"/>
      <c r="L477" s="36"/>
      <c r="M477" s="36"/>
      <c r="N477" s="36"/>
      <c r="O477" s="10"/>
      <c r="P477" s="10"/>
      <c r="Q477" s="9"/>
      <c r="R477" s="9"/>
      <c r="S477" s="13"/>
      <c r="T477" s="35"/>
      <c r="U477" s="35"/>
      <c r="V477" s="35"/>
      <c r="W477" s="35"/>
      <c r="X477" s="9"/>
      <c r="Y477" s="35"/>
      <c r="Z477" s="9"/>
      <c r="AA477" s="9"/>
    </row>
    <row r="478" spans="1:27" s="61" customFormat="1" x14ac:dyDescent="0.25">
      <c r="A478" s="9"/>
      <c r="B478" s="10"/>
      <c r="C478" s="2"/>
      <c r="D478" s="12"/>
      <c r="E478" s="10"/>
      <c r="F478" s="11"/>
      <c r="G478" s="11"/>
      <c r="H478" s="36"/>
      <c r="I478" s="36"/>
      <c r="J478" s="36"/>
      <c r="K478" s="36"/>
      <c r="L478" s="36"/>
      <c r="M478" s="36"/>
      <c r="N478" s="36"/>
      <c r="O478" s="10"/>
      <c r="P478" s="10"/>
      <c r="Q478" s="9"/>
      <c r="R478" s="9"/>
      <c r="S478" s="13"/>
      <c r="T478" s="35"/>
      <c r="U478" s="35"/>
      <c r="V478" s="35"/>
      <c r="W478" s="35"/>
      <c r="X478" s="9"/>
      <c r="Y478" s="35"/>
      <c r="Z478" s="9"/>
      <c r="AA478" s="9"/>
    </row>
    <row r="479" spans="1:27" s="61" customFormat="1" x14ac:dyDescent="0.25">
      <c r="A479" s="9"/>
      <c r="B479" s="10"/>
      <c r="C479" s="2"/>
      <c r="D479" s="12"/>
      <c r="E479" s="10"/>
      <c r="F479" s="11"/>
      <c r="G479" s="11"/>
      <c r="H479" s="36"/>
      <c r="I479" s="36"/>
      <c r="J479" s="36"/>
      <c r="K479" s="36"/>
      <c r="L479" s="36"/>
      <c r="M479" s="36"/>
      <c r="N479" s="36"/>
      <c r="O479" s="10"/>
      <c r="P479" s="10"/>
      <c r="Q479" s="9"/>
      <c r="R479" s="9"/>
      <c r="S479" s="13"/>
      <c r="T479" s="35"/>
      <c r="U479" s="35"/>
      <c r="V479" s="35"/>
      <c r="W479" s="35"/>
      <c r="X479" s="9"/>
      <c r="Y479" s="35"/>
      <c r="Z479" s="9"/>
      <c r="AA479" s="9"/>
    </row>
  </sheetData>
  <protectedRanges>
    <protectedRange algorithmName="SHA-512" hashValue="n6K25g9uzAcpntxjqTQaPVdKX1eij75CLB1gBuUNBybVL5B3VaxVW/Tcen54TXijIel0fCN9KO3xZiLZCJMSZw==" saltValue="89UdTK4UUElaUoKBccfOYw==" spinCount="100000" sqref="C3:D6" name="CIN CDP"/>
    <protectedRange algorithmName="SHA-512" hashValue="n6K25g9uzAcpntxjqTQaPVdKX1eij75CLB1gBuUNBybVL5B3VaxVW/Tcen54TXijIel0fCN9KO3xZiLZCJMSZw==" saltValue="89UdTK4UUElaUoKBccfOYw==" spinCount="100000" sqref="C7:D97" name="CIN CDP_1"/>
  </protectedRanges>
  <conditionalFormatting sqref="A45:A56">
    <cfRule type="expression" dxfId="1236" priority="1">
      <formula>$T45="Benzick, Sue"</formula>
    </cfRule>
    <cfRule type="expression" dxfId="1235" priority="2">
      <formula>$T45="Jenne, Richard"</formula>
    </cfRule>
    <cfRule type="expression" dxfId="1234" priority="3">
      <formula>$T45="McQueen, Jennifer"</formula>
    </cfRule>
  </conditionalFormatting>
  <conditionalFormatting sqref="A8:B25 A26:A27 A29:B33 A35:B37">
    <cfRule type="expression" dxfId="1233" priority="7">
      <formula>$T8="Benzick, Sue"</formula>
    </cfRule>
    <cfRule type="expression" dxfId="1232" priority="8">
      <formula>$T8="Jenne, Richard"</formula>
    </cfRule>
    <cfRule type="expression" dxfId="1231" priority="9">
      <formula>$T8="McQueen, Jennifer"</formula>
    </cfRule>
  </conditionalFormatting>
  <conditionalFormatting sqref="G7:I7 H8:I33 H34:N34 H35:I37 H38:N44 H45:I58 H59:N68 H69:I97">
    <cfRule type="expression" dxfId="1230" priority="4">
      <formula>#REF!="Benzick, Sue"</formula>
    </cfRule>
    <cfRule type="expression" dxfId="1229" priority="5">
      <formula>#REF!="Jenne, Richard"</formula>
    </cfRule>
    <cfRule type="expression" dxfId="1228" priority="6">
      <formula>#REF!="McQueen, Jennifer"</formula>
    </cfRule>
  </conditionalFormatting>
  <conditionalFormatting sqref="J7:N33 T7:T97 J35:N37 J45:N58 J69:N97">
    <cfRule type="expression" dxfId="1227" priority="10">
      <formula>$S7="Benzick, Sue"</formula>
    </cfRule>
    <cfRule type="expression" dxfId="1226" priority="11">
      <formula>$S7="Jenne, Richard"</formula>
    </cfRule>
    <cfRule type="expression" dxfId="1225" priority="12">
      <formula>$S7="McQueen, Jennifer"</formula>
    </cfRule>
  </conditionalFormatting>
  <conditionalFormatting sqref="Y7:Y97 W57:W97">
    <cfRule type="expression" dxfId="1224" priority="13">
      <formula>$X7="Benzick, Sue"</formula>
    </cfRule>
    <cfRule type="expression" dxfId="1223" priority="14">
      <formula>$X7="Jenne, Richard"</formula>
    </cfRule>
    <cfRule type="expression" dxfId="1222" priority="15">
      <formula>$X7="McQueen, Jennifer"</formula>
    </cfRule>
  </conditionalFormatting>
  <dataValidations count="3">
    <dataValidation allowBlank="1" showInputMessage="1" showErrorMessage="1" sqref="S7:S97" xr:uid="{AA1F1B04-2B72-48BE-9F70-B5D4DE815519}"/>
    <dataValidation type="list" allowBlank="1" showInputMessage="1" showErrorMessage="1" sqref="B99:B105 B107:B377 B4:B97" xr:uid="{359F152B-43BF-4681-94C7-0882BE25B1CB}">
      <formula1>Class</formula1>
    </dataValidation>
    <dataValidation type="list" allowBlank="1" showInputMessage="1" showErrorMessage="1" sqref="O99:O321" xr:uid="{4F9173FD-9C9A-4C7E-BDE1-700B1F43FCBE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BF3D5-DAA7-4486-84FD-CDCF9E55DC77}">
  <sheetPr>
    <pageSetUpPr fitToPage="1"/>
  </sheetPr>
  <dimension ref="A1:AA459"/>
  <sheetViews>
    <sheetView zoomScale="90" zoomScaleNormal="90" workbookViewId="0">
      <selection activeCell="P39" sqref="P39"/>
    </sheetView>
  </sheetViews>
  <sheetFormatPr defaultColWidth="8.7109375" defaultRowHeight="15" x14ac:dyDescent="0.25"/>
  <cols>
    <col min="1" max="1" width="30.42578125" style="9" customWidth="1"/>
    <col min="2" max="2" width="46.85546875" style="10" customWidth="1"/>
    <col min="3" max="3" width="14.28515625" style="2" customWidth="1"/>
    <col min="4" max="4" width="16.28515625" style="12" customWidth="1"/>
    <col min="5" max="5" width="21.7109375" style="10" customWidth="1"/>
    <col min="6" max="6" width="17" style="11" bestFit="1" customWidth="1"/>
    <col min="7" max="7" width="15.7109375" style="11" bestFit="1" customWidth="1"/>
    <col min="8" max="8" width="9.85546875" style="36" customWidth="1"/>
    <col min="9" max="9" width="9.7109375" style="36" customWidth="1"/>
    <col min="10" max="14" width="9.7109375" style="36" hidden="1" customWidth="1"/>
    <col min="15" max="15" width="20" style="10" hidden="1" customWidth="1"/>
    <col min="16" max="16" width="18.42578125" style="10" bestFit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424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425</v>
      </c>
      <c r="B3" s="27" t="s">
        <v>227</v>
      </c>
      <c r="C3" s="27" t="s">
        <v>73</v>
      </c>
      <c r="D3" s="120" t="s">
        <v>228</v>
      </c>
      <c r="E3" s="27" t="s">
        <v>156</v>
      </c>
      <c r="F3" s="28" t="s">
        <v>229</v>
      </c>
      <c r="G3" s="28" t="s">
        <v>230</v>
      </c>
      <c r="H3" s="71" t="s">
        <v>231</v>
      </c>
      <c r="I3" s="71" t="s">
        <v>232</v>
      </c>
      <c r="J3" s="71" t="s">
        <v>233</v>
      </c>
      <c r="K3" s="71" t="s">
        <v>234</v>
      </c>
      <c r="L3" s="71" t="s">
        <v>235</v>
      </c>
      <c r="M3" s="71" t="s">
        <v>236</v>
      </c>
      <c r="N3" s="71" t="s">
        <v>237</v>
      </c>
      <c r="O3" s="27" t="s">
        <v>238</v>
      </c>
      <c r="P3" s="27" t="s">
        <v>239</v>
      </c>
      <c r="Q3" s="30" t="s">
        <v>240</v>
      </c>
      <c r="R3" s="30" t="s">
        <v>242</v>
      </c>
      <c r="S3" s="29" t="s">
        <v>246</v>
      </c>
      <c r="T3" s="29" t="s">
        <v>247</v>
      </c>
      <c r="U3" s="29" t="s">
        <v>13</v>
      </c>
      <c r="V3" s="29" t="s">
        <v>14</v>
      </c>
      <c r="W3" s="29" t="s">
        <v>248</v>
      </c>
      <c r="X3" s="29" t="s">
        <v>249</v>
      </c>
      <c r="Y3" s="29" t="s">
        <v>250</v>
      </c>
      <c r="Z3" s="29" t="s">
        <v>251</v>
      </c>
      <c r="AA3" s="29" t="s">
        <v>252</v>
      </c>
    </row>
    <row r="4" spans="1:27" s="103" customFormat="1" x14ac:dyDescent="0.25">
      <c r="A4" s="61"/>
      <c r="B4" s="96" t="s">
        <v>53</v>
      </c>
      <c r="C4" s="97" t="s">
        <v>148</v>
      </c>
      <c r="D4" s="97" t="s">
        <v>149</v>
      </c>
      <c r="E4" s="96" t="s">
        <v>160</v>
      </c>
      <c r="F4" s="99">
        <v>45789</v>
      </c>
      <c r="G4" s="99">
        <v>45793</v>
      </c>
      <c r="H4" s="102">
        <v>0.33333333333333331</v>
      </c>
      <c r="I4" s="98"/>
      <c r="J4" s="102"/>
      <c r="K4" s="102"/>
      <c r="L4" s="102"/>
      <c r="M4" s="102"/>
      <c r="N4" s="102"/>
      <c r="O4" s="96"/>
      <c r="P4" s="96"/>
      <c r="Q4" s="15">
        <v>30</v>
      </c>
      <c r="R4" s="15">
        <v>5</v>
      </c>
      <c r="S4" s="15"/>
      <c r="T4" s="100"/>
      <c r="U4" s="15"/>
      <c r="V4" s="15"/>
      <c r="W4" s="15"/>
      <c r="X4" s="96"/>
      <c r="Y4" s="69">
        <f ca="1">Table25[[#This Row],[End Date]]+2-TODAY()</f>
        <v>18</v>
      </c>
      <c r="Z4" s="15">
        <f>IF(ISBLANK(Table25[[#This Row],[Roster Received By]]),1,0)</f>
        <v>1</v>
      </c>
      <c r="AA4" s="15">
        <f ca="1">IF(Table25[[#This Row],[Start Date]]&gt;TODAY(),1,)</f>
        <v>1</v>
      </c>
    </row>
    <row r="5" spans="1:27" s="103" customFormat="1" x14ac:dyDescent="0.25">
      <c r="A5" s="61"/>
      <c r="B5" s="96" t="s">
        <v>53</v>
      </c>
      <c r="C5" s="97" t="s">
        <v>148</v>
      </c>
      <c r="D5" s="97" t="s">
        <v>149</v>
      </c>
      <c r="E5" s="96" t="s">
        <v>170</v>
      </c>
      <c r="F5" s="99">
        <v>45670</v>
      </c>
      <c r="G5" s="99">
        <v>45674</v>
      </c>
      <c r="H5" s="102">
        <v>0.33333333333333331</v>
      </c>
      <c r="I5" s="98"/>
      <c r="J5" s="102"/>
      <c r="K5" s="102"/>
      <c r="L5" s="102"/>
      <c r="M5" s="102"/>
      <c r="N5" s="102"/>
      <c r="O5" s="96"/>
      <c r="P5" s="96"/>
      <c r="Q5" s="15">
        <v>30</v>
      </c>
      <c r="R5" s="15">
        <v>5</v>
      </c>
      <c r="S5" s="15"/>
      <c r="T5" s="100"/>
      <c r="U5" s="15"/>
      <c r="V5" s="15"/>
      <c r="W5" s="15"/>
      <c r="X5" s="96"/>
      <c r="Y5" s="69">
        <f ca="1">Table25[[#This Row],[End Date]]+2-TODAY()</f>
        <v>-101</v>
      </c>
      <c r="Z5" s="15">
        <f>IF(ISBLANK(Table25[[#This Row],[Roster Received By]]),1,0)</f>
        <v>1</v>
      </c>
      <c r="AA5" s="15">
        <f ca="1">IF(Table25[[#This Row],[Start Date]]&gt;TODAY(),1,)</f>
        <v>0</v>
      </c>
    </row>
    <row r="6" spans="1:27" s="103" customFormat="1" x14ac:dyDescent="0.25">
      <c r="A6" s="61"/>
      <c r="B6" s="96" t="s">
        <v>53</v>
      </c>
      <c r="C6" s="97" t="s">
        <v>148</v>
      </c>
      <c r="D6" s="97" t="s">
        <v>149</v>
      </c>
      <c r="E6" s="96" t="s">
        <v>174</v>
      </c>
      <c r="F6" s="99">
        <v>45894</v>
      </c>
      <c r="G6" s="99">
        <v>45898</v>
      </c>
      <c r="H6" s="102">
        <v>0.33333333333333331</v>
      </c>
      <c r="I6" s="102"/>
      <c r="J6" s="99"/>
      <c r="K6" s="99"/>
      <c r="L6" s="99"/>
      <c r="M6" s="99"/>
      <c r="N6" s="99"/>
      <c r="O6" s="96"/>
      <c r="P6" s="96"/>
      <c r="Q6" s="15">
        <v>30</v>
      </c>
      <c r="R6" s="15">
        <v>5</v>
      </c>
      <c r="S6" s="100"/>
      <c r="T6" s="100"/>
      <c r="U6" s="15"/>
      <c r="V6" s="15"/>
      <c r="W6" s="15"/>
      <c r="X6" s="96"/>
      <c r="Y6" s="69">
        <f ca="1">Table25[[#This Row],[End Date]]+2-TODAY()</f>
        <v>123</v>
      </c>
      <c r="Z6" s="15">
        <f>IF(ISBLANK(Table25[[#This Row],[Roster Received By]]),1,0)</f>
        <v>1</v>
      </c>
      <c r="AA6" s="15">
        <f ca="1">IF(Table25[[#This Row],[Start Date]]&gt;TODAY(),1,)</f>
        <v>1</v>
      </c>
    </row>
    <row r="7" spans="1:27" s="103" customFormat="1" hidden="1" x14ac:dyDescent="0.25">
      <c r="A7" s="61"/>
      <c r="B7" s="96" t="s">
        <v>42</v>
      </c>
      <c r="C7" s="97" t="s">
        <v>92</v>
      </c>
      <c r="D7" s="97">
        <v>3879</v>
      </c>
      <c r="E7" s="96" t="s">
        <v>86</v>
      </c>
      <c r="F7" s="99">
        <v>45700</v>
      </c>
      <c r="G7" s="99">
        <v>45700</v>
      </c>
      <c r="H7" s="102"/>
      <c r="I7" s="98">
        <v>0.75</v>
      </c>
      <c r="J7" s="99"/>
      <c r="K7" s="99"/>
      <c r="L7" s="99"/>
      <c r="M7" s="99"/>
      <c r="N7" s="99"/>
      <c r="O7" s="96"/>
      <c r="P7" s="96"/>
      <c r="Q7" s="100">
        <v>30</v>
      </c>
      <c r="R7" s="101">
        <v>1</v>
      </c>
      <c r="S7" s="100"/>
      <c r="T7" s="100"/>
      <c r="U7" s="15"/>
      <c r="V7" s="15"/>
      <c r="W7" s="97"/>
      <c r="X7" s="96"/>
      <c r="Y7" s="69">
        <f ca="1">Table25[[#This Row],[End Date]]+2-TODAY()</f>
        <v>-75</v>
      </c>
      <c r="Z7" s="15">
        <f>IF(ISBLANK(Table25[[#This Row],[Roster Received By]]),1,0)</f>
        <v>1</v>
      </c>
      <c r="AA7" s="15">
        <f ca="1">IF(Table25[[#This Row],[Start Date]]&gt;TODAY(),1,)</f>
        <v>0</v>
      </c>
    </row>
    <row r="8" spans="1:27" s="103" customFormat="1" hidden="1" x14ac:dyDescent="0.25">
      <c r="A8" s="61"/>
      <c r="B8" s="96" t="s">
        <v>42</v>
      </c>
      <c r="C8" s="97" t="s">
        <v>92</v>
      </c>
      <c r="D8" s="97">
        <v>3879</v>
      </c>
      <c r="E8" s="96" t="s">
        <v>86</v>
      </c>
      <c r="F8" s="99">
        <v>45882</v>
      </c>
      <c r="G8" s="99">
        <v>45882</v>
      </c>
      <c r="H8" s="102"/>
      <c r="I8" s="98">
        <v>0.75</v>
      </c>
      <c r="J8" s="99"/>
      <c r="K8" s="99"/>
      <c r="L8" s="99"/>
      <c r="M8" s="99"/>
      <c r="N8" s="99"/>
      <c r="O8" s="96"/>
      <c r="P8" s="96"/>
      <c r="Q8" s="100">
        <v>30</v>
      </c>
      <c r="R8" s="101">
        <v>1</v>
      </c>
      <c r="S8" s="100"/>
      <c r="T8" s="100"/>
      <c r="U8" s="15"/>
      <c r="V8" s="15"/>
      <c r="W8" s="97"/>
      <c r="X8" s="96"/>
      <c r="Y8" s="69">
        <f ca="1">Table25[[#This Row],[End Date]]+2-TODAY()</f>
        <v>107</v>
      </c>
      <c r="Z8" s="15">
        <f>IF(ISBLANK(Table25[[#This Row],[Roster Received By]]),1,0)</f>
        <v>1</v>
      </c>
      <c r="AA8" s="15">
        <f ca="1">IF(Table25[[#This Row],[Start Date]]&gt;TODAY(),1,)</f>
        <v>1</v>
      </c>
    </row>
    <row r="9" spans="1:27" s="103" customFormat="1" hidden="1" x14ac:dyDescent="0.25">
      <c r="A9" s="61"/>
      <c r="B9" s="96" t="s">
        <v>44</v>
      </c>
      <c r="C9" s="97" t="s">
        <v>95</v>
      </c>
      <c r="D9" s="97">
        <v>3888</v>
      </c>
      <c r="E9" s="96" t="s">
        <v>86</v>
      </c>
      <c r="F9" s="99">
        <v>45701</v>
      </c>
      <c r="G9" s="99">
        <v>45701</v>
      </c>
      <c r="H9" s="102"/>
      <c r="I9" s="98">
        <v>0.75</v>
      </c>
      <c r="J9" s="99"/>
      <c r="K9" s="99"/>
      <c r="L9" s="99"/>
      <c r="M9" s="99"/>
      <c r="N9" s="99"/>
      <c r="O9" s="96"/>
      <c r="P9" s="96"/>
      <c r="Q9" s="100">
        <v>30</v>
      </c>
      <c r="R9" s="101">
        <v>1</v>
      </c>
      <c r="S9" s="100"/>
      <c r="T9" s="100"/>
      <c r="U9" s="15"/>
      <c r="V9" s="15"/>
      <c r="W9" s="97"/>
      <c r="X9" s="96"/>
      <c r="Y9" s="69">
        <f ca="1">Table25[[#This Row],[End Date]]+2-TODAY()</f>
        <v>-74</v>
      </c>
      <c r="Z9" s="15">
        <f>IF(ISBLANK(Table25[[#This Row],[Roster Received By]]),1,0)</f>
        <v>1</v>
      </c>
      <c r="AA9" s="15">
        <f ca="1">IF(Table25[[#This Row],[Start Date]]&gt;TODAY(),1,)</f>
        <v>0</v>
      </c>
    </row>
    <row r="10" spans="1:27" s="103" customFormat="1" hidden="1" x14ac:dyDescent="0.25">
      <c r="A10" s="61"/>
      <c r="B10" s="96" t="s">
        <v>44</v>
      </c>
      <c r="C10" s="97" t="s">
        <v>95</v>
      </c>
      <c r="D10" s="97">
        <v>3888</v>
      </c>
      <c r="E10" s="96" t="s">
        <v>86</v>
      </c>
      <c r="F10" s="99">
        <v>45883</v>
      </c>
      <c r="G10" s="99">
        <v>45883</v>
      </c>
      <c r="H10" s="102"/>
      <c r="I10" s="98">
        <v>0.75</v>
      </c>
      <c r="J10" s="99"/>
      <c r="K10" s="99"/>
      <c r="L10" s="99"/>
      <c r="M10" s="99"/>
      <c r="N10" s="99"/>
      <c r="O10" s="96"/>
      <c r="P10" s="96"/>
      <c r="Q10" s="100">
        <v>30</v>
      </c>
      <c r="R10" s="101">
        <v>1</v>
      </c>
      <c r="S10" s="100"/>
      <c r="T10" s="100"/>
      <c r="U10" s="15"/>
      <c r="V10" s="15"/>
      <c r="W10" s="97"/>
      <c r="X10" s="96"/>
      <c r="Y10" s="69">
        <f ca="1">Table25[[#This Row],[End Date]]+2-TODAY()</f>
        <v>108</v>
      </c>
      <c r="Z10" s="15">
        <f>IF(ISBLANK(Table25[[#This Row],[Roster Received By]]),1,0)</f>
        <v>1</v>
      </c>
      <c r="AA10" s="15">
        <f ca="1">IF(Table25[[#This Row],[Start Date]]&gt;TODAY(),1,)</f>
        <v>1</v>
      </c>
    </row>
    <row r="11" spans="1:27" s="103" customFormat="1" hidden="1" x14ac:dyDescent="0.25">
      <c r="A11" s="61"/>
      <c r="B11" s="96" t="s">
        <v>46</v>
      </c>
      <c r="C11" s="97" t="s">
        <v>98</v>
      </c>
      <c r="D11" s="97" t="s">
        <v>99</v>
      </c>
      <c r="E11" s="96" t="s">
        <v>86</v>
      </c>
      <c r="F11" s="99">
        <v>45698</v>
      </c>
      <c r="G11" s="99">
        <v>45699</v>
      </c>
      <c r="H11" s="98"/>
      <c r="I11" s="98">
        <v>0.75</v>
      </c>
      <c r="J11" s="98"/>
      <c r="K11" s="98"/>
      <c r="L11" s="98"/>
      <c r="M11" s="98"/>
      <c r="N11" s="98"/>
      <c r="O11" s="96"/>
      <c r="P11" s="96"/>
      <c r="Q11" s="15">
        <v>30</v>
      </c>
      <c r="R11" s="15">
        <v>1</v>
      </c>
      <c r="S11" s="15"/>
      <c r="T11" s="100"/>
      <c r="U11" s="15"/>
      <c r="V11" s="15"/>
      <c r="W11" s="97"/>
      <c r="X11" s="96"/>
      <c r="Y11" s="69">
        <f ca="1">Table25[[#This Row],[End Date]]+2-TODAY()</f>
        <v>-76</v>
      </c>
      <c r="Z11" s="15">
        <f>IF(ISBLANK(Table25[[#This Row],[Roster Received By]]),1,0)</f>
        <v>1</v>
      </c>
      <c r="AA11" s="15">
        <f ca="1">IF(Table25[[#This Row],[Start Date]]&gt;TODAY(),1,)</f>
        <v>0</v>
      </c>
    </row>
    <row r="12" spans="1:27" s="103" customFormat="1" hidden="1" x14ac:dyDescent="0.25">
      <c r="A12" s="61"/>
      <c r="B12" s="96" t="s">
        <v>46</v>
      </c>
      <c r="C12" s="97" t="s">
        <v>98</v>
      </c>
      <c r="D12" s="97" t="s">
        <v>99</v>
      </c>
      <c r="E12" s="96" t="s">
        <v>86</v>
      </c>
      <c r="F12" s="99">
        <v>45880</v>
      </c>
      <c r="G12" s="99">
        <v>45881</v>
      </c>
      <c r="H12" s="98"/>
      <c r="I12" s="98">
        <v>0.75</v>
      </c>
      <c r="J12" s="99"/>
      <c r="K12" s="99"/>
      <c r="L12" s="99"/>
      <c r="M12" s="99"/>
      <c r="N12" s="99"/>
      <c r="O12" s="96"/>
      <c r="P12" s="96"/>
      <c r="Q12" s="100">
        <v>30</v>
      </c>
      <c r="R12" s="101">
        <v>1</v>
      </c>
      <c r="S12" s="100"/>
      <c r="T12" s="100"/>
      <c r="U12" s="15"/>
      <c r="V12" s="15"/>
      <c r="W12" s="97"/>
      <c r="X12" s="96"/>
      <c r="Y12" s="69">
        <f ca="1">Table25[[#This Row],[End Date]]+2-TODAY()</f>
        <v>106</v>
      </c>
      <c r="Z12" s="15">
        <f>IF(ISBLANK(Table25[[#This Row],[Roster Received By]]),1,0)</f>
        <v>1</v>
      </c>
      <c r="AA12" s="15">
        <f ca="1">IF(Table25[[#This Row],[Start Date]]&gt;TODAY(),1,)</f>
        <v>1</v>
      </c>
    </row>
    <row r="13" spans="1:27" s="103" customFormat="1" hidden="1" x14ac:dyDescent="0.25">
      <c r="A13" s="61"/>
      <c r="B13" s="96" t="s">
        <v>50</v>
      </c>
      <c r="C13" s="97" t="s">
        <v>134</v>
      </c>
      <c r="D13" s="97" t="s">
        <v>135</v>
      </c>
      <c r="E13" s="96" t="s">
        <v>86</v>
      </c>
      <c r="F13" s="99">
        <v>45580</v>
      </c>
      <c r="G13" s="99">
        <v>45582</v>
      </c>
      <c r="H13" s="99"/>
      <c r="I13" s="98">
        <v>0.5</v>
      </c>
      <c r="J13" s="98"/>
      <c r="K13" s="98"/>
      <c r="L13" s="98"/>
      <c r="M13" s="98"/>
      <c r="N13" s="98"/>
      <c r="O13" s="96"/>
      <c r="P13" s="96"/>
      <c r="Q13" s="211">
        <v>45</v>
      </c>
      <c r="R13" s="15">
        <v>3</v>
      </c>
      <c r="S13" s="15"/>
      <c r="T13" s="100"/>
      <c r="U13" s="15"/>
      <c r="V13" s="15"/>
      <c r="W13" s="15"/>
      <c r="X13" s="96"/>
      <c r="Y13" s="69">
        <f ca="1">Table25[[#This Row],[End Date]]+2-TODAY()</f>
        <v>-193</v>
      </c>
      <c r="Z13" s="15">
        <f>IF(ISBLANK(Table25[[#This Row],[Roster Received By]]),1,0)</f>
        <v>1</v>
      </c>
      <c r="AA13" s="15">
        <f ca="1">IF(Table25[[#This Row],[Start Date]]&gt;TODAY(),1,)</f>
        <v>0</v>
      </c>
    </row>
    <row r="14" spans="1:27" s="103" customFormat="1" hidden="1" x14ac:dyDescent="0.25">
      <c r="A14" s="61"/>
      <c r="B14" s="96" t="s">
        <v>50</v>
      </c>
      <c r="C14" s="97" t="s">
        <v>134</v>
      </c>
      <c r="D14" s="97" t="s">
        <v>135</v>
      </c>
      <c r="E14" s="96" t="s">
        <v>86</v>
      </c>
      <c r="F14" s="99">
        <v>45594</v>
      </c>
      <c r="G14" s="99">
        <v>45596</v>
      </c>
      <c r="H14" s="99"/>
      <c r="I14" s="98">
        <v>0.5</v>
      </c>
      <c r="J14" s="98"/>
      <c r="K14" s="98"/>
      <c r="L14" s="98"/>
      <c r="M14" s="98"/>
      <c r="N14" s="98"/>
      <c r="O14" s="96"/>
      <c r="P14" s="96"/>
      <c r="Q14" s="211">
        <v>45</v>
      </c>
      <c r="R14" s="15">
        <v>3</v>
      </c>
      <c r="S14" s="15"/>
      <c r="T14" s="100"/>
      <c r="U14" s="15"/>
      <c r="V14" s="15"/>
      <c r="W14" s="100"/>
      <c r="X14" s="96"/>
      <c r="Y14" s="69">
        <f ca="1">Table25[[#This Row],[End Date]]+2-TODAY()</f>
        <v>-179</v>
      </c>
      <c r="Z14" s="15">
        <f>IF(ISBLANK(Table25[[#This Row],[Roster Received By]]),1,0)</f>
        <v>1</v>
      </c>
      <c r="AA14" s="15">
        <f ca="1">IF(Table25[[#This Row],[Start Date]]&gt;TODAY(),1,)</f>
        <v>0</v>
      </c>
    </row>
    <row r="15" spans="1:27" s="132" customFormat="1" hidden="1" x14ac:dyDescent="0.25">
      <c r="A15" s="61"/>
      <c r="B15" s="113" t="s">
        <v>50</v>
      </c>
      <c r="C15" s="97" t="s">
        <v>134</v>
      </c>
      <c r="D15" s="97" t="s">
        <v>135</v>
      </c>
      <c r="E15" s="64" t="s">
        <v>86</v>
      </c>
      <c r="F15" s="99">
        <v>45608</v>
      </c>
      <c r="G15" s="99">
        <v>45610</v>
      </c>
      <c r="H15" s="105"/>
      <c r="I15" s="98">
        <v>0.5</v>
      </c>
      <c r="J15" s="99"/>
      <c r="K15" s="99"/>
      <c r="L15" s="99"/>
      <c r="M15" s="99"/>
      <c r="N15" s="99"/>
      <c r="O15" s="96"/>
      <c r="P15" s="96"/>
      <c r="Q15" s="211">
        <v>45</v>
      </c>
      <c r="R15" s="15">
        <v>3</v>
      </c>
      <c r="S15" s="15"/>
      <c r="T15" s="100"/>
      <c r="U15" s="15"/>
      <c r="V15" s="15"/>
      <c r="W15" s="100"/>
      <c r="X15" s="96"/>
      <c r="Y15" s="69">
        <f ca="1">Table25[[#This Row],[End Date]]+2-TODAY()</f>
        <v>-165</v>
      </c>
      <c r="Z15" s="15">
        <f>IF(ISBLANK(Table25[[#This Row],[Roster Received By]]),1,0)</f>
        <v>1</v>
      </c>
      <c r="AA15" s="15">
        <f ca="1">IF(Table25[[#This Row],[Start Date]]&gt;TODAY(),1,)</f>
        <v>0</v>
      </c>
    </row>
    <row r="16" spans="1:27" s="132" customFormat="1" hidden="1" x14ac:dyDescent="0.25">
      <c r="A16" s="61"/>
      <c r="B16" s="113" t="s">
        <v>50</v>
      </c>
      <c r="C16" s="97" t="s">
        <v>134</v>
      </c>
      <c r="D16" s="97" t="s">
        <v>135</v>
      </c>
      <c r="E16" s="96" t="s">
        <v>86</v>
      </c>
      <c r="F16" s="99">
        <v>45636</v>
      </c>
      <c r="G16" s="99">
        <v>45638</v>
      </c>
      <c r="H16" s="99"/>
      <c r="I16" s="98">
        <v>0.5</v>
      </c>
      <c r="J16" s="98"/>
      <c r="K16" s="98"/>
      <c r="L16" s="98"/>
      <c r="M16" s="98"/>
      <c r="N16" s="98"/>
      <c r="O16" s="96"/>
      <c r="P16" s="96"/>
      <c r="Q16" s="211">
        <v>45</v>
      </c>
      <c r="R16" s="15">
        <v>3</v>
      </c>
      <c r="S16" s="15"/>
      <c r="T16" s="100"/>
      <c r="U16" s="15"/>
      <c r="V16" s="15"/>
      <c r="W16" s="15"/>
      <c r="X16" s="96"/>
      <c r="Y16" s="69">
        <f ca="1">Table25[[#This Row],[End Date]]+2-TODAY()</f>
        <v>-137</v>
      </c>
      <c r="Z16" s="15">
        <f>IF(ISBLANK(Table25[[#This Row],[Roster Received By]]),1,0)</f>
        <v>1</v>
      </c>
      <c r="AA16" s="15">
        <f ca="1">IF(Table25[[#This Row],[Start Date]]&gt;TODAY(),1,)</f>
        <v>0</v>
      </c>
    </row>
    <row r="17" spans="1:27" s="133" customFormat="1" ht="13.5" hidden="1" customHeight="1" x14ac:dyDescent="0.25">
      <c r="A17" s="61"/>
      <c r="B17" s="114" t="s">
        <v>50</v>
      </c>
      <c r="C17" s="97" t="s">
        <v>134</v>
      </c>
      <c r="D17" s="97" t="s">
        <v>135</v>
      </c>
      <c r="E17" s="96" t="s">
        <v>86</v>
      </c>
      <c r="F17" s="99">
        <v>45664</v>
      </c>
      <c r="G17" s="99">
        <v>45666</v>
      </c>
      <c r="H17" s="99"/>
      <c r="I17" s="98">
        <v>0.5</v>
      </c>
      <c r="J17" s="98"/>
      <c r="K17" s="98"/>
      <c r="L17" s="98"/>
      <c r="M17" s="98"/>
      <c r="N17" s="98"/>
      <c r="O17" s="96"/>
      <c r="P17" s="96"/>
      <c r="Q17" s="211">
        <v>45</v>
      </c>
      <c r="R17" s="15">
        <v>3</v>
      </c>
      <c r="S17" s="15"/>
      <c r="T17" s="100"/>
      <c r="U17" s="15"/>
      <c r="V17" s="15"/>
      <c r="W17" s="15"/>
      <c r="X17" s="96"/>
      <c r="Y17" s="69">
        <f ca="1">Table25[[#This Row],[End Date]]+2-TODAY()</f>
        <v>-109</v>
      </c>
      <c r="Z17" s="15">
        <f>IF(ISBLANK(Table25[[#This Row],[Roster Received By]]),1,0)</f>
        <v>1</v>
      </c>
      <c r="AA17" s="15">
        <f ca="1">IF(Table25[[#This Row],[Start Date]]&gt;TODAY(),1,)</f>
        <v>0</v>
      </c>
    </row>
    <row r="18" spans="1:27" s="103" customFormat="1" hidden="1" x14ac:dyDescent="0.25">
      <c r="A18" s="61"/>
      <c r="B18" s="114" t="s">
        <v>50</v>
      </c>
      <c r="C18" s="97" t="s">
        <v>134</v>
      </c>
      <c r="D18" s="97" t="s">
        <v>135</v>
      </c>
      <c r="E18" s="96" t="s">
        <v>86</v>
      </c>
      <c r="F18" s="99">
        <v>45679</v>
      </c>
      <c r="G18" s="99">
        <v>45681</v>
      </c>
      <c r="H18" s="99"/>
      <c r="I18" s="98">
        <v>0.5</v>
      </c>
      <c r="J18" s="98"/>
      <c r="K18" s="98"/>
      <c r="L18" s="98"/>
      <c r="M18" s="98"/>
      <c r="N18" s="98"/>
      <c r="O18" s="96"/>
      <c r="P18" s="96"/>
      <c r="Q18" s="211">
        <v>45</v>
      </c>
      <c r="R18" s="15">
        <v>3</v>
      </c>
      <c r="S18" s="15"/>
      <c r="T18" s="100"/>
      <c r="U18" s="15"/>
      <c r="V18" s="15"/>
      <c r="W18" s="15"/>
      <c r="X18" s="96"/>
      <c r="Y18" s="69">
        <f ca="1">Table25[[#This Row],[End Date]]+2-TODAY()</f>
        <v>-94</v>
      </c>
      <c r="Z18" s="15">
        <f>IF(ISBLANK(Table25[[#This Row],[Roster Received By]]),1,0)</f>
        <v>1</v>
      </c>
      <c r="AA18" s="15">
        <f ca="1">IF(Table25[[#This Row],[Start Date]]&gt;TODAY(),1,)</f>
        <v>0</v>
      </c>
    </row>
    <row r="19" spans="1:27" s="103" customFormat="1" hidden="1" x14ac:dyDescent="0.25">
      <c r="A19" s="61"/>
      <c r="B19" s="96" t="s">
        <v>50</v>
      </c>
      <c r="C19" s="97" t="s">
        <v>134</v>
      </c>
      <c r="D19" s="97" t="s">
        <v>135</v>
      </c>
      <c r="E19" s="96" t="s">
        <v>86</v>
      </c>
      <c r="F19" s="99">
        <v>45706</v>
      </c>
      <c r="G19" s="99">
        <v>45708</v>
      </c>
      <c r="H19" s="105"/>
      <c r="I19" s="98">
        <v>0.5</v>
      </c>
      <c r="J19" s="99"/>
      <c r="K19" s="99"/>
      <c r="L19" s="99"/>
      <c r="M19" s="99"/>
      <c r="N19" s="99"/>
      <c r="O19" s="96"/>
      <c r="P19" s="96"/>
      <c r="Q19" s="211">
        <v>45</v>
      </c>
      <c r="R19" s="15">
        <v>3</v>
      </c>
      <c r="S19" s="15"/>
      <c r="T19" s="100"/>
      <c r="U19" s="15"/>
      <c r="V19" s="15"/>
      <c r="W19" s="15"/>
      <c r="X19" s="96"/>
      <c r="Y19" s="69">
        <f ca="1">Table25[[#This Row],[End Date]]+2-TODAY()</f>
        <v>-67</v>
      </c>
      <c r="Z19" s="15">
        <f>IF(ISBLANK(Table25[[#This Row],[Roster Received By]]),1,0)</f>
        <v>1</v>
      </c>
      <c r="AA19" s="15">
        <f ca="1">IF(Table25[[#This Row],[Start Date]]&gt;TODAY(),1,)</f>
        <v>0</v>
      </c>
    </row>
    <row r="20" spans="1:27" s="132" customFormat="1" hidden="1" x14ac:dyDescent="0.25">
      <c r="A20" s="96"/>
      <c r="B20" s="96" t="s">
        <v>50</v>
      </c>
      <c r="C20" s="97" t="s">
        <v>134</v>
      </c>
      <c r="D20" s="97" t="s">
        <v>135</v>
      </c>
      <c r="E20" s="96" t="s">
        <v>86</v>
      </c>
      <c r="F20" s="99">
        <v>45720</v>
      </c>
      <c r="G20" s="99">
        <v>45722</v>
      </c>
      <c r="H20" s="99"/>
      <c r="I20" s="98">
        <v>0.5</v>
      </c>
      <c r="J20" s="98"/>
      <c r="K20" s="98"/>
      <c r="L20" s="98"/>
      <c r="M20" s="98"/>
      <c r="N20" s="98"/>
      <c r="O20" s="96"/>
      <c r="P20" s="96"/>
      <c r="Q20" s="211">
        <v>45</v>
      </c>
      <c r="R20" s="15">
        <v>3</v>
      </c>
      <c r="S20" s="15"/>
      <c r="T20" s="100"/>
      <c r="U20" s="15"/>
      <c r="V20" s="15"/>
      <c r="W20" s="15"/>
      <c r="X20" s="96"/>
      <c r="Y20" s="69">
        <f ca="1">Table25[[#This Row],[End Date]]+2-TODAY()</f>
        <v>-53</v>
      </c>
      <c r="Z20" s="15">
        <f>IF(ISBLANK(Table25[[#This Row],[Roster Received By]]),1,0)</f>
        <v>1</v>
      </c>
      <c r="AA20" s="15">
        <f ca="1">IF(Table25[[#This Row],[Start Date]]&gt;TODAY(),1,)</f>
        <v>0</v>
      </c>
    </row>
    <row r="21" spans="1:27" s="103" customFormat="1" ht="14.25" hidden="1" customHeight="1" x14ac:dyDescent="0.25">
      <c r="A21" s="64"/>
      <c r="B21" s="96" t="s">
        <v>50</v>
      </c>
      <c r="C21" s="97" t="s">
        <v>134</v>
      </c>
      <c r="D21" s="97" t="s">
        <v>135</v>
      </c>
      <c r="E21" s="96" t="s">
        <v>86</v>
      </c>
      <c r="F21" s="99">
        <v>45734</v>
      </c>
      <c r="G21" s="99">
        <v>45736</v>
      </c>
      <c r="H21" s="102"/>
      <c r="I21" s="98">
        <v>0.5</v>
      </c>
      <c r="J21" s="102"/>
      <c r="K21" s="102"/>
      <c r="L21" s="102"/>
      <c r="M21" s="102"/>
      <c r="N21" s="102"/>
      <c r="O21" s="96"/>
      <c r="P21" s="96"/>
      <c r="Q21" s="211">
        <v>45</v>
      </c>
      <c r="R21" s="15">
        <v>3</v>
      </c>
      <c r="S21" s="100"/>
      <c r="T21" s="100"/>
      <c r="U21" s="15"/>
      <c r="V21" s="15"/>
      <c r="W21" s="15"/>
      <c r="X21" s="96"/>
      <c r="Y21" s="69">
        <f ca="1">Table25[[#This Row],[End Date]]+2-TODAY()</f>
        <v>-39</v>
      </c>
      <c r="Z21" s="15">
        <f>IF(ISBLANK(Table25[[#This Row],[Roster Received By]]),1,0)</f>
        <v>1</v>
      </c>
      <c r="AA21" s="15">
        <f ca="1">IF(Table25[[#This Row],[Start Date]]&gt;TODAY(),1,)</f>
        <v>0</v>
      </c>
    </row>
    <row r="22" spans="1:27" s="103" customFormat="1" ht="14.25" hidden="1" customHeight="1" x14ac:dyDescent="0.25">
      <c r="A22" s="61"/>
      <c r="B22" s="96" t="s">
        <v>50</v>
      </c>
      <c r="C22" s="97" t="s">
        <v>134</v>
      </c>
      <c r="D22" s="97" t="s">
        <v>135</v>
      </c>
      <c r="E22" s="96" t="s">
        <v>86</v>
      </c>
      <c r="F22" s="99">
        <v>45776</v>
      </c>
      <c r="G22" s="99">
        <v>45778</v>
      </c>
      <c r="H22" s="99"/>
      <c r="I22" s="98">
        <v>0.5</v>
      </c>
      <c r="J22" s="98"/>
      <c r="K22" s="98"/>
      <c r="L22" s="98"/>
      <c r="M22" s="98"/>
      <c r="N22" s="98"/>
      <c r="O22" s="96"/>
      <c r="P22" s="96"/>
      <c r="Q22" s="211">
        <v>45</v>
      </c>
      <c r="R22" s="15">
        <v>3</v>
      </c>
      <c r="S22" s="15"/>
      <c r="T22" s="100"/>
      <c r="U22" s="15"/>
      <c r="V22" s="15"/>
      <c r="W22" s="15"/>
      <c r="X22" s="96"/>
      <c r="Y22" s="69">
        <f ca="1">Table25[[#This Row],[End Date]]+2-TODAY()</f>
        <v>3</v>
      </c>
      <c r="Z22" s="15">
        <f>IF(ISBLANK(Table25[[#This Row],[Roster Received By]]),1,0)</f>
        <v>1</v>
      </c>
      <c r="AA22" s="15">
        <f ca="1">IF(Table25[[#This Row],[Start Date]]&gt;TODAY(),1,)</f>
        <v>0</v>
      </c>
    </row>
    <row r="23" spans="1:27" s="103" customFormat="1" ht="14.25" hidden="1" customHeight="1" x14ac:dyDescent="0.25">
      <c r="A23" s="96"/>
      <c r="B23" s="96" t="s">
        <v>50</v>
      </c>
      <c r="C23" s="97" t="s">
        <v>134</v>
      </c>
      <c r="D23" s="97" t="s">
        <v>135</v>
      </c>
      <c r="E23" s="96" t="s">
        <v>86</v>
      </c>
      <c r="F23" s="99">
        <v>45790</v>
      </c>
      <c r="G23" s="99">
        <v>45792</v>
      </c>
      <c r="H23" s="99"/>
      <c r="I23" s="98">
        <v>0.5</v>
      </c>
      <c r="J23" s="98"/>
      <c r="K23" s="98"/>
      <c r="L23" s="98"/>
      <c r="M23" s="98"/>
      <c r="N23" s="98"/>
      <c r="O23" s="96"/>
      <c r="P23" s="96"/>
      <c r="Q23" s="211">
        <v>45</v>
      </c>
      <c r="R23" s="15">
        <v>3</v>
      </c>
      <c r="S23" s="15"/>
      <c r="T23" s="100"/>
      <c r="U23" s="15"/>
      <c r="V23" s="15"/>
      <c r="W23" s="15"/>
      <c r="X23" s="96"/>
      <c r="Y23" s="69">
        <f ca="1">Table25[[#This Row],[End Date]]+2-TODAY()</f>
        <v>17</v>
      </c>
      <c r="Z23" s="15">
        <f>IF(ISBLANK(Table25[[#This Row],[Roster Received By]]),1,0)</f>
        <v>1</v>
      </c>
      <c r="AA23" s="15">
        <f ca="1">IF(Table25[[#This Row],[Start Date]]&gt;TODAY(),1,)</f>
        <v>1</v>
      </c>
    </row>
    <row r="24" spans="1:27" s="133" customFormat="1" ht="14.25" hidden="1" customHeight="1" x14ac:dyDescent="0.25">
      <c r="A24" s="61"/>
      <c r="B24" s="96" t="s">
        <v>50</v>
      </c>
      <c r="C24" s="97" t="s">
        <v>134</v>
      </c>
      <c r="D24" s="97" t="s">
        <v>135</v>
      </c>
      <c r="E24" s="96" t="s">
        <v>86</v>
      </c>
      <c r="F24" s="99">
        <v>45804</v>
      </c>
      <c r="G24" s="99">
        <v>45806</v>
      </c>
      <c r="H24" s="99"/>
      <c r="I24" s="98">
        <v>0.5</v>
      </c>
      <c r="J24" s="98"/>
      <c r="K24" s="98"/>
      <c r="L24" s="98"/>
      <c r="M24" s="98"/>
      <c r="N24" s="98"/>
      <c r="O24" s="96"/>
      <c r="P24" s="96"/>
      <c r="Q24" s="211">
        <v>45</v>
      </c>
      <c r="R24" s="15">
        <v>3</v>
      </c>
      <c r="S24" s="15"/>
      <c r="T24" s="100"/>
      <c r="U24" s="15"/>
      <c r="V24" s="15"/>
      <c r="W24" s="97"/>
      <c r="X24" s="96"/>
      <c r="Y24" s="69">
        <f ca="1">Table25[[#This Row],[End Date]]+2-TODAY()</f>
        <v>31</v>
      </c>
      <c r="Z24" s="15">
        <f>IF(ISBLANK(Table25[[#This Row],[Roster Received By]]),1,0)</f>
        <v>1</v>
      </c>
      <c r="AA24" s="15">
        <f ca="1">IF(Table25[[#This Row],[Start Date]]&gt;TODAY(),1,)</f>
        <v>1</v>
      </c>
    </row>
    <row r="25" spans="1:27" s="103" customFormat="1" ht="14.25" hidden="1" customHeight="1" x14ac:dyDescent="0.25">
      <c r="A25" s="96"/>
      <c r="B25" s="96" t="s">
        <v>50</v>
      </c>
      <c r="C25" s="97" t="s">
        <v>134</v>
      </c>
      <c r="D25" s="97" t="s">
        <v>135</v>
      </c>
      <c r="E25" s="96" t="s">
        <v>86</v>
      </c>
      <c r="F25" s="99">
        <v>45818</v>
      </c>
      <c r="G25" s="99">
        <v>45820</v>
      </c>
      <c r="H25" s="102"/>
      <c r="I25" s="98">
        <v>0.5</v>
      </c>
      <c r="J25" s="98"/>
      <c r="K25" s="98"/>
      <c r="L25" s="98"/>
      <c r="M25" s="98"/>
      <c r="N25" s="98"/>
      <c r="O25" s="96"/>
      <c r="P25" s="96"/>
      <c r="Q25" s="211">
        <v>45</v>
      </c>
      <c r="R25" s="15">
        <v>3</v>
      </c>
      <c r="S25" s="100"/>
      <c r="T25" s="100"/>
      <c r="U25" s="15"/>
      <c r="V25" s="15"/>
      <c r="W25" s="15"/>
      <c r="X25" s="96"/>
      <c r="Y25" s="69">
        <f ca="1">Table25[[#This Row],[End Date]]+2-TODAY()</f>
        <v>45</v>
      </c>
      <c r="Z25" s="15">
        <f>IF(ISBLANK(Table25[[#This Row],[Roster Received By]]),1,0)</f>
        <v>1</v>
      </c>
      <c r="AA25" s="15">
        <f ca="1">IF(Table25[[#This Row],[Start Date]]&gt;TODAY(),1,)</f>
        <v>1</v>
      </c>
    </row>
    <row r="26" spans="1:27" s="103" customFormat="1" ht="14.25" hidden="1" customHeight="1" x14ac:dyDescent="0.25">
      <c r="A26" s="61"/>
      <c r="B26" s="96" t="s">
        <v>50</v>
      </c>
      <c r="C26" s="97" t="s">
        <v>134</v>
      </c>
      <c r="D26" s="97" t="s">
        <v>135</v>
      </c>
      <c r="E26" s="96" t="s">
        <v>86</v>
      </c>
      <c r="F26" s="99">
        <v>45838</v>
      </c>
      <c r="G26" s="99">
        <v>45840</v>
      </c>
      <c r="H26" s="99"/>
      <c r="I26" s="98">
        <v>0.5</v>
      </c>
      <c r="J26" s="98"/>
      <c r="K26" s="98"/>
      <c r="L26" s="98"/>
      <c r="M26" s="98"/>
      <c r="N26" s="98"/>
      <c r="O26" s="96"/>
      <c r="P26" s="96"/>
      <c r="Q26" s="211">
        <v>45</v>
      </c>
      <c r="R26" s="15">
        <v>3</v>
      </c>
      <c r="S26" s="15"/>
      <c r="T26" s="100"/>
      <c r="U26" s="15"/>
      <c r="V26" s="15"/>
      <c r="W26" s="15"/>
      <c r="X26" s="96"/>
      <c r="Y26" s="69">
        <f ca="1">Table25[[#This Row],[End Date]]+2-TODAY()</f>
        <v>65</v>
      </c>
      <c r="Z26" s="15">
        <f>IF(ISBLANK(Table25[[#This Row],[Roster Received By]]),1,0)</f>
        <v>1</v>
      </c>
      <c r="AA26" s="15">
        <f ca="1">IF(Table25[[#This Row],[Start Date]]&gt;TODAY(),1,)</f>
        <v>1</v>
      </c>
    </row>
    <row r="27" spans="1:27" s="103" customFormat="1" ht="14.25" hidden="1" customHeight="1" x14ac:dyDescent="0.25">
      <c r="A27" s="61"/>
      <c r="B27" s="96" t="s">
        <v>50</v>
      </c>
      <c r="C27" s="97" t="s">
        <v>134</v>
      </c>
      <c r="D27" s="97" t="s">
        <v>135</v>
      </c>
      <c r="E27" s="96" t="s">
        <v>86</v>
      </c>
      <c r="F27" s="99">
        <v>45853</v>
      </c>
      <c r="G27" s="99">
        <v>45855</v>
      </c>
      <c r="H27" s="99"/>
      <c r="I27" s="98">
        <v>0.5</v>
      </c>
      <c r="J27" s="98"/>
      <c r="K27" s="98"/>
      <c r="L27" s="98"/>
      <c r="M27" s="98"/>
      <c r="N27" s="98"/>
      <c r="O27" s="96"/>
      <c r="P27" s="96"/>
      <c r="Q27" s="211">
        <v>45</v>
      </c>
      <c r="R27" s="15">
        <v>3</v>
      </c>
      <c r="S27" s="15"/>
      <c r="T27" s="100"/>
      <c r="U27" s="15"/>
      <c r="V27" s="15"/>
      <c r="W27" s="15"/>
      <c r="X27" s="96"/>
      <c r="Y27" s="69">
        <f ca="1">Table25[[#This Row],[End Date]]+2-TODAY()</f>
        <v>80</v>
      </c>
      <c r="Z27" s="15">
        <f>IF(ISBLANK(Table25[[#This Row],[Roster Received By]]),1,0)</f>
        <v>1</v>
      </c>
      <c r="AA27" s="15">
        <f ca="1">IF(Table25[[#This Row],[Start Date]]&gt;TODAY(),1,)</f>
        <v>1</v>
      </c>
    </row>
    <row r="28" spans="1:27" s="103" customFormat="1" ht="14.25" hidden="1" customHeight="1" x14ac:dyDescent="0.25">
      <c r="A28" s="61"/>
      <c r="B28" s="96" t="s">
        <v>50</v>
      </c>
      <c r="C28" s="97" t="s">
        <v>134</v>
      </c>
      <c r="D28" s="97" t="s">
        <v>135</v>
      </c>
      <c r="E28" s="96" t="s">
        <v>86</v>
      </c>
      <c r="F28" s="99">
        <v>45874</v>
      </c>
      <c r="G28" s="99">
        <v>45876</v>
      </c>
      <c r="H28" s="102"/>
      <c r="I28" s="98">
        <v>0.5</v>
      </c>
      <c r="J28" s="99"/>
      <c r="K28" s="99"/>
      <c r="L28" s="99"/>
      <c r="M28" s="99"/>
      <c r="N28" s="99"/>
      <c r="O28" s="96"/>
      <c r="P28" s="96"/>
      <c r="Q28" s="211">
        <v>45</v>
      </c>
      <c r="R28" s="15">
        <v>3</v>
      </c>
      <c r="S28" s="15"/>
      <c r="T28" s="100"/>
      <c r="U28" s="15"/>
      <c r="V28" s="15"/>
      <c r="W28" s="15"/>
      <c r="X28" s="96"/>
      <c r="Y28" s="69">
        <f ca="1">Table25[[#This Row],[End Date]]+2-TODAY()</f>
        <v>101</v>
      </c>
      <c r="Z28" s="15">
        <f>IF(ISBLANK(Table25[[#This Row],[Roster Received By]]),1,0)</f>
        <v>1</v>
      </c>
      <c r="AA28" s="15">
        <f ca="1">IF(Table25[[#This Row],[Start Date]]&gt;TODAY(),1,)</f>
        <v>1</v>
      </c>
    </row>
    <row r="29" spans="1:27" s="103" customFormat="1" ht="14.25" hidden="1" customHeight="1" x14ac:dyDescent="0.25">
      <c r="A29" s="61"/>
      <c r="B29" s="96" t="s">
        <v>50</v>
      </c>
      <c r="C29" s="97" t="s">
        <v>134</v>
      </c>
      <c r="D29" s="97" t="s">
        <v>135</v>
      </c>
      <c r="E29" s="96" t="s">
        <v>86</v>
      </c>
      <c r="F29" s="99">
        <v>45888</v>
      </c>
      <c r="G29" s="99">
        <v>45890</v>
      </c>
      <c r="H29" s="102"/>
      <c r="I29" s="98">
        <v>0.5</v>
      </c>
      <c r="J29" s="102"/>
      <c r="K29" s="102"/>
      <c r="L29" s="102"/>
      <c r="M29" s="102"/>
      <c r="N29" s="102"/>
      <c r="O29" s="96"/>
      <c r="P29" s="96"/>
      <c r="Q29" s="211">
        <v>45</v>
      </c>
      <c r="R29" s="15">
        <v>3</v>
      </c>
      <c r="S29" s="15"/>
      <c r="T29" s="100"/>
      <c r="U29" s="15"/>
      <c r="V29" s="15"/>
      <c r="W29" s="15"/>
      <c r="X29" s="96"/>
      <c r="Y29" s="69">
        <f ca="1">Table25[[#This Row],[End Date]]+2-TODAY()</f>
        <v>115</v>
      </c>
      <c r="Z29" s="15">
        <f>IF(ISBLANK(Table25[[#This Row],[Roster Received By]]),1,0)</f>
        <v>1</v>
      </c>
      <c r="AA29" s="15">
        <f ca="1">IF(Table25[[#This Row],[Start Date]]&gt;TODAY(),1,)</f>
        <v>1</v>
      </c>
    </row>
    <row r="30" spans="1:27" s="103" customFormat="1" ht="14.25" hidden="1" customHeight="1" x14ac:dyDescent="0.25">
      <c r="A30" s="96"/>
      <c r="B30" s="96" t="s">
        <v>50</v>
      </c>
      <c r="C30" s="97" t="s">
        <v>134</v>
      </c>
      <c r="D30" s="97" t="s">
        <v>135</v>
      </c>
      <c r="E30" s="96" t="s">
        <v>86</v>
      </c>
      <c r="F30" s="99">
        <v>45902</v>
      </c>
      <c r="G30" s="99">
        <v>45904</v>
      </c>
      <c r="H30" s="102"/>
      <c r="I30" s="98">
        <v>0.5</v>
      </c>
      <c r="J30" s="102"/>
      <c r="K30" s="102"/>
      <c r="L30" s="102"/>
      <c r="M30" s="102"/>
      <c r="N30" s="102"/>
      <c r="O30" s="96"/>
      <c r="P30" s="96"/>
      <c r="Q30" s="211">
        <v>45</v>
      </c>
      <c r="R30" s="15">
        <v>3</v>
      </c>
      <c r="S30" s="15"/>
      <c r="T30" s="100"/>
      <c r="U30" s="15"/>
      <c r="V30" s="15"/>
      <c r="W30" s="15"/>
      <c r="X30" s="96"/>
      <c r="Y30" s="69">
        <f ca="1">Table25[[#This Row],[End Date]]+2-TODAY()</f>
        <v>129</v>
      </c>
      <c r="Z30" s="15">
        <f>IF(ISBLANK(Table25[[#This Row],[Roster Received By]]),1,0)</f>
        <v>1</v>
      </c>
      <c r="AA30" s="15">
        <f ca="1">IF(Table25[[#This Row],[Start Date]]&gt;TODAY(),1,)</f>
        <v>1</v>
      </c>
    </row>
    <row r="31" spans="1:27" s="103" customFormat="1" ht="14.25" hidden="1" customHeight="1" x14ac:dyDescent="0.25">
      <c r="A31" s="96"/>
      <c r="B31" s="96" t="s">
        <v>50</v>
      </c>
      <c r="C31" s="97" t="s">
        <v>134</v>
      </c>
      <c r="D31" s="97" t="s">
        <v>135</v>
      </c>
      <c r="E31" s="96" t="s">
        <v>86</v>
      </c>
      <c r="F31" s="99">
        <v>45916</v>
      </c>
      <c r="G31" s="99">
        <v>45918</v>
      </c>
      <c r="H31" s="105"/>
      <c r="I31" s="98">
        <v>0.5</v>
      </c>
      <c r="J31" s="99"/>
      <c r="K31" s="99"/>
      <c r="L31" s="99"/>
      <c r="M31" s="99"/>
      <c r="N31" s="99"/>
      <c r="O31" s="96"/>
      <c r="P31" s="96"/>
      <c r="Q31" s="211">
        <v>45</v>
      </c>
      <c r="R31" s="15">
        <v>3</v>
      </c>
      <c r="S31" s="15"/>
      <c r="T31" s="100"/>
      <c r="U31" s="15"/>
      <c r="V31" s="15"/>
      <c r="W31" s="15"/>
      <c r="X31" s="96"/>
      <c r="Y31" s="69">
        <f ca="1">Table25[[#This Row],[End Date]]+2-TODAY()</f>
        <v>143</v>
      </c>
      <c r="Z31" s="15">
        <f>IF(ISBLANK(Table25[[#This Row],[Roster Received By]]),1,0)</f>
        <v>1</v>
      </c>
      <c r="AA31" s="15">
        <f ca="1">IF(Table25[[#This Row],[Start Date]]&gt;TODAY(),1,)</f>
        <v>1</v>
      </c>
    </row>
    <row r="32" spans="1:27" s="103" customFormat="1" ht="14.25" hidden="1" customHeight="1" x14ac:dyDescent="0.25">
      <c r="A32" s="61"/>
      <c r="B32" s="96" t="s">
        <v>51</v>
      </c>
      <c r="C32" s="97" t="s">
        <v>136</v>
      </c>
      <c r="D32" s="97" t="s">
        <v>137</v>
      </c>
      <c r="E32" s="64" t="s">
        <v>86</v>
      </c>
      <c r="F32" s="66">
        <v>45580</v>
      </c>
      <c r="G32" s="99">
        <v>45583</v>
      </c>
      <c r="H32" s="102"/>
      <c r="I32" s="98">
        <v>0.5</v>
      </c>
      <c r="J32" s="99"/>
      <c r="K32" s="99"/>
      <c r="L32" s="99"/>
      <c r="M32" s="99"/>
      <c r="N32" s="99"/>
      <c r="O32" s="96"/>
      <c r="P32" s="96"/>
      <c r="Q32" s="211">
        <v>45</v>
      </c>
      <c r="R32" s="15">
        <v>4</v>
      </c>
      <c r="S32" s="15"/>
      <c r="T32" s="100"/>
      <c r="U32" s="15"/>
      <c r="V32" s="15"/>
      <c r="W32" s="15"/>
      <c r="X32" s="96"/>
      <c r="Y32" s="69">
        <f ca="1">Table25[[#This Row],[End Date]]+2-TODAY()</f>
        <v>-192</v>
      </c>
      <c r="Z32" s="15">
        <f>IF(ISBLANK(Table25[[#This Row],[Roster Received By]]),1,0)</f>
        <v>1</v>
      </c>
      <c r="AA32" s="15">
        <f ca="1">IF(Table25[[#This Row],[Start Date]]&gt;TODAY(),1,)</f>
        <v>0</v>
      </c>
    </row>
    <row r="33" spans="1:27" s="103" customFormat="1" ht="16.5" hidden="1" customHeight="1" x14ac:dyDescent="0.25">
      <c r="A33" s="61"/>
      <c r="B33" s="96" t="s">
        <v>51</v>
      </c>
      <c r="C33" s="97" t="s">
        <v>136</v>
      </c>
      <c r="D33" s="97" t="s">
        <v>137</v>
      </c>
      <c r="E33" s="96" t="s">
        <v>86</v>
      </c>
      <c r="F33" s="99">
        <v>45600</v>
      </c>
      <c r="G33" s="99">
        <v>45603</v>
      </c>
      <c r="H33" s="99"/>
      <c r="I33" s="98">
        <v>0.5</v>
      </c>
      <c r="J33" s="98"/>
      <c r="K33" s="98"/>
      <c r="L33" s="98"/>
      <c r="M33" s="98"/>
      <c r="N33" s="98"/>
      <c r="O33" s="96"/>
      <c r="P33" s="96"/>
      <c r="Q33" s="211">
        <v>45</v>
      </c>
      <c r="R33" s="15">
        <v>4</v>
      </c>
      <c r="S33" s="15"/>
      <c r="T33" s="100"/>
      <c r="U33" s="15"/>
      <c r="V33" s="15"/>
      <c r="W33" s="15"/>
      <c r="X33" s="96"/>
      <c r="Y33" s="69">
        <f ca="1">Table25[[#This Row],[End Date]]+2-TODAY()</f>
        <v>-172</v>
      </c>
      <c r="Z33" s="15">
        <f>IF(ISBLANK(Table25[[#This Row],[Roster Received By]]),1,0)</f>
        <v>1</v>
      </c>
      <c r="AA33" s="15">
        <f ca="1">IF(Table25[[#This Row],[Start Date]]&gt;TODAY(),1,)</f>
        <v>0</v>
      </c>
    </row>
    <row r="34" spans="1:27" s="103" customFormat="1" ht="16.5" hidden="1" customHeight="1" x14ac:dyDescent="0.25">
      <c r="A34" s="61"/>
      <c r="B34" s="96" t="s">
        <v>51</v>
      </c>
      <c r="C34" s="97" t="s">
        <v>136</v>
      </c>
      <c r="D34" s="97" t="s">
        <v>137</v>
      </c>
      <c r="E34" s="96" t="s">
        <v>86</v>
      </c>
      <c r="F34" s="99">
        <v>45614</v>
      </c>
      <c r="G34" s="99">
        <v>45617</v>
      </c>
      <c r="H34" s="99"/>
      <c r="I34" s="98">
        <v>0.5</v>
      </c>
      <c r="J34" s="98"/>
      <c r="K34" s="98"/>
      <c r="L34" s="98"/>
      <c r="M34" s="98"/>
      <c r="N34" s="98"/>
      <c r="O34" s="96"/>
      <c r="P34" s="96"/>
      <c r="Q34" s="211">
        <v>45</v>
      </c>
      <c r="R34" s="15">
        <v>4</v>
      </c>
      <c r="S34" s="15"/>
      <c r="T34" s="100"/>
      <c r="U34" s="15"/>
      <c r="V34" s="15"/>
      <c r="W34" s="15"/>
      <c r="X34" s="96"/>
      <c r="Y34" s="69">
        <f ca="1">Table25[[#This Row],[End Date]]+2-TODAY()</f>
        <v>-158</v>
      </c>
      <c r="Z34" s="15">
        <f>IF(ISBLANK(Table25[[#This Row],[Roster Received By]]),1,0)</f>
        <v>1</v>
      </c>
      <c r="AA34" s="15">
        <f ca="1">IF(Table25[[#This Row],[Start Date]]&gt;TODAY(),1,)</f>
        <v>0</v>
      </c>
    </row>
    <row r="35" spans="1:27" s="103" customFormat="1" ht="14.25" hidden="1" customHeight="1" x14ac:dyDescent="0.25">
      <c r="A35" s="61"/>
      <c r="B35" s="96" t="s">
        <v>51</v>
      </c>
      <c r="C35" s="97" t="s">
        <v>136</v>
      </c>
      <c r="D35" s="97" t="s">
        <v>137</v>
      </c>
      <c r="E35" s="96" t="s">
        <v>86</v>
      </c>
      <c r="F35" s="99">
        <v>45663</v>
      </c>
      <c r="G35" s="99">
        <v>45666</v>
      </c>
      <c r="H35" s="99"/>
      <c r="I35" s="98">
        <v>0.5</v>
      </c>
      <c r="J35" s="98"/>
      <c r="K35" s="98"/>
      <c r="L35" s="98"/>
      <c r="M35" s="98"/>
      <c r="N35" s="98"/>
      <c r="O35" s="96"/>
      <c r="P35" s="96"/>
      <c r="Q35" s="211">
        <v>45</v>
      </c>
      <c r="R35" s="15">
        <v>4</v>
      </c>
      <c r="S35" s="15"/>
      <c r="T35" s="100"/>
      <c r="U35" s="15"/>
      <c r="V35" s="15"/>
      <c r="W35" s="15"/>
      <c r="X35" s="96"/>
      <c r="Y35" s="69">
        <f ca="1">Table25[[#This Row],[End Date]]+2-TODAY()</f>
        <v>-109</v>
      </c>
      <c r="Z35" s="15">
        <f>IF(ISBLANK(Table25[[#This Row],[Roster Received By]]),1,0)</f>
        <v>1</v>
      </c>
      <c r="AA35" s="15">
        <f ca="1">IF(Table25[[#This Row],[Start Date]]&gt;TODAY(),1,)</f>
        <v>0</v>
      </c>
    </row>
    <row r="36" spans="1:27" s="103" customFormat="1" ht="14.25" hidden="1" customHeight="1" x14ac:dyDescent="0.25">
      <c r="A36" s="61"/>
      <c r="B36" s="96" t="s">
        <v>51</v>
      </c>
      <c r="C36" s="97" t="s">
        <v>136</v>
      </c>
      <c r="D36" s="97" t="s">
        <v>137</v>
      </c>
      <c r="E36" s="96" t="s">
        <v>86</v>
      </c>
      <c r="F36" s="99">
        <v>45678</v>
      </c>
      <c r="G36" s="99">
        <v>45681</v>
      </c>
      <c r="H36" s="99"/>
      <c r="I36" s="98">
        <v>0.5</v>
      </c>
      <c r="J36" s="98"/>
      <c r="K36" s="98"/>
      <c r="L36" s="98"/>
      <c r="M36" s="98"/>
      <c r="N36" s="98"/>
      <c r="O36" s="96"/>
      <c r="P36" s="96"/>
      <c r="Q36" s="211">
        <v>45</v>
      </c>
      <c r="R36" s="15">
        <v>4</v>
      </c>
      <c r="S36" s="15"/>
      <c r="T36" s="100"/>
      <c r="U36" s="15"/>
      <c r="V36" s="15"/>
      <c r="W36" s="15"/>
      <c r="X36" s="96"/>
      <c r="Y36" s="69">
        <f ca="1">Table25[[#This Row],[End Date]]+2-TODAY()</f>
        <v>-94</v>
      </c>
      <c r="Z36" s="15">
        <f>IF(ISBLANK(Table25[[#This Row],[Roster Received By]]),1,0)</f>
        <v>1</v>
      </c>
      <c r="AA36" s="15">
        <f ca="1">IF(Table25[[#This Row],[Start Date]]&gt;TODAY(),1,)</f>
        <v>0</v>
      </c>
    </row>
    <row r="37" spans="1:27" s="103" customFormat="1" ht="14.25" hidden="1" customHeight="1" x14ac:dyDescent="0.25">
      <c r="A37" s="61"/>
      <c r="B37" s="96" t="s">
        <v>51</v>
      </c>
      <c r="C37" s="97" t="s">
        <v>136</v>
      </c>
      <c r="D37" s="97" t="s">
        <v>137</v>
      </c>
      <c r="E37" s="96" t="s">
        <v>86</v>
      </c>
      <c r="F37" s="99">
        <v>45712</v>
      </c>
      <c r="G37" s="99">
        <v>45715</v>
      </c>
      <c r="H37" s="105"/>
      <c r="I37" s="98">
        <v>0.5</v>
      </c>
      <c r="J37" s="99"/>
      <c r="K37" s="99"/>
      <c r="L37" s="99"/>
      <c r="M37" s="99"/>
      <c r="N37" s="99"/>
      <c r="O37" s="96"/>
      <c r="P37" s="96"/>
      <c r="Q37" s="211">
        <v>45</v>
      </c>
      <c r="R37" s="15">
        <v>4</v>
      </c>
      <c r="S37" s="15"/>
      <c r="T37" s="100"/>
      <c r="U37" s="15"/>
      <c r="V37" s="15"/>
      <c r="W37" s="104"/>
      <c r="X37" s="96"/>
      <c r="Y37" s="69">
        <f ca="1">Table25[[#This Row],[End Date]]+2-TODAY()</f>
        <v>-60</v>
      </c>
      <c r="Z37" s="15">
        <f>IF(ISBLANK(Table25[[#This Row],[Roster Received By]]),1,0)</f>
        <v>1</v>
      </c>
      <c r="AA37" s="15">
        <f ca="1">IF(Table25[[#This Row],[Start Date]]&gt;TODAY(),1,)</f>
        <v>0</v>
      </c>
    </row>
    <row r="38" spans="1:27" s="103" customFormat="1" ht="14.25" hidden="1" customHeight="1" x14ac:dyDescent="0.25">
      <c r="A38" s="61"/>
      <c r="B38" s="96" t="s">
        <v>51</v>
      </c>
      <c r="C38" s="97" t="s">
        <v>136</v>
      </c>
      <c r="D38" s="97" t="s">
        <v>137</v>
      </c>
      <c r="E38" s="96" t="s">
        <v>86</v>
      </c>
      <c r="F38" s="99">
        <v>45740</v>
      </c>
      <c r="G38" s="99">
        <v>45743</v>
      </c>
      <c r="H38" s="99"/>
      <c r="I38" s="98">
        <v>0.5</v>
      </c>
      <c r="J38" s="98"/>
      <c r="K38" s="98"/>
      <c r="L38" s="98"/>
      <c r="M38" s="98"/>
      <c r="N38" s="98"/>
      <c r="O38" s="96"/>
      <c r="P38" s="96"/>
      <c r="Q38" s="211">
        <v>45</v>
      </c>
      <c r="R38" s="15">
        <v>4</v>
      </c>
      <c r="S38" s="15"/>
      <c r="T38" s="100"/>
      <c r="U38" s="15"/>
      <c r="V38" s="15"/>
      <c r="W38" s="15"/>
      <c r="X38" s="96"/>
      <c r="Y38" s="69">
        <f ca="1">Table25[[#This Row],[End Date]]+2-TODAY()</f>
        <v>-32</v>
      </c>
      <c r="Z38" s="15">
        <f>IF(ISBLANK(Table25[[#This Row],[Roster Received By]]),1,0)</f>
        <v>1</v>
      </c>
      <c r="AA38" s="15">
        <f ca="1">IF(Table25[[#This Row],[Start Date]]&gt;TODAY(),1,)</f>
        <v>0</v>
      </c>
    </row>
    <row r="39" spans="1:27" s="135" customFormat="1" ht="14.25" hidden="1" customHeight="1" x14ac:dyDescent="0.25">
      <c r="A39" s="61"/>
      <c r="B39" s="96" t="s">
        <v>51</v>
      </c>
      <c r="C39" s="97" t="s">
        <v>136</v>
      </c>
      <c r="D39" s="97" t="s">
        <v>137</v>
      </c>
      <c r="E39" s="96" t="s">
        <v>86</v>
      </c>
      <c r="F39" s="99">
        <v>45775</v>
      </c>
      <c r="G39" s="99">
        <v>45778</v>
      </c>
      <c r="H39" s="99"/>
      <c r="I39" s="98">
        <v>0.5</v>
      </c>
      <c r="J39" s="98"/>
      <c r="K39" s="98"/>
      <c r="L39" s="98"/>
      <c r="M39" s="98"/>
      <c r="N39" s="98"/>
      <c r="O39" s="96"/>
      <c r="P39" s="96"/>
      <c r="Q39" s="211">
        <v>45</v>
      </c>
      <c r="R39" s="15">
        <v>4</v>
      </c>
      <c r="S39" s="15"/>
      <c r="T39" s="100"/>
      <c r="U39" s="15"/>
      <c r="V39" s="15"/>
      <c r="W39" s="15"/>
      <c r="X39" s="96"/>
      <c r="Y39" s="69">
        <f ca="1">Table25[[#This Row],[End Date]]+2-TODAY()</f>
        <v>3</v>
      </c>
      <c r="Z39" s="15">
        <f>IF(ISBLANK(Table25[[#This Row],[Roster Received By]]),1,0)</f>
        <v>1</v>
      </c>
      <c r="AA39" s="15">
        <f ca="1">IF(Table25[[#This Row],[Start Date]]&gt;TODAY(),1,)</f>
        <v>0</v>
      </c>
    </row>
    <row r="40" spans="1:27" s="103" customFormat="1" ht="16.5" hidden="1" customHeight="1" x14ac:dyDescent="0.25">
      <c r="A40" s="61"/>
      <c r="B40" s="96" t="s">
        <v>51</v>
      </c>
      <c r="C40" s="97" t="s">
        <v>136</v>
      </c>
      <c r="D40" s="97" t="s">
        <v>137</v>
      </c>
      <c r="E40" s="137" t="s">
        <v>86</v>
      </c>
      <c r="F40" s="99">
        <v>45796</v>
      </c>
      <c r="G40" s="99">
        <v>45799</v>
      </c>
      <c r="H40" s="99"/>
      <c r="I40" s="98">
        <v>0.5</v>
      </c>
      <c r="J40" s="98"/>
      <c r="K40" s="98"/>
      <c r="L40" s="98"/>
      <c r="M40" s="98"/>
      <c r="N40" s="98"/>
      <c r="O40" s="96"/>
      <c r="P40" s="96"/>
      <c r="Q40" s="211">
        <v>45</v>
      </c>
      <c r="R40" s="15">
        <v>4</v>
      </c>
      <c r="S40" s="15"/>
      <c r="T40" s="100"/>
      <c r="U40" s="15"/>
      <c r="V40" s="15"/>
      <c r="W40" s="15"/>
      <c r="X40" s="96"/>
      <c r="Y40" s="69">
        <f ca="1">Table25[[#This Row],[End Date]]+2-TODAY()</f>
        <v>24</v>
      </c>
      <c r="Z40" s="15">
        <f>IF(ISBLANK(Table25[[#This Row],[Roster Received By]]),1,0)</f>
        <v>1</v>
      </c>
      <c r="AA40" s="15">
        <f ca="1">IF(Table25[[#This Row],[Start Date]]&gt;TODAY(),1,)</f>
        <v>1</v>
      </c>
    </row>
    <row r="41" spans="1:27" s="103" customFormat="1" ht="16.5" hidden="1" customHeight="1" x14ac:dyDescent="0.25">
      <c r="A41" s="61"/>
      <c r="B41" s="96" t="s">
        <v>51</v>
      </c>
      <c r="C41" s="97" t="s">
        <v>136</v>
      </c>
      <c r="D41" s="97" t="s">
        <v>137</v>
      </c>
      <c r="E41" s="64" t="s">
        <v>86</v>
      </c>
      <c r="F41" s="99">
        <v>45810</v>
      </c>
      <c r="G41" s="99">
        <v>45813</v>
      </c>
      <c r="H41" s="102"/>
      <c r="I41" s="98">
        <v>0.5</v>
      </c>
      <c r="J41" s="99"/>
      <c r="K41" s="99"/>
      <c r="L41" s="99"/>
      <c r="M41" s="99"/>
      <c r="N41" s="99"/>
      <c r="O41" s="96"/>
      <c r="P41" s="96"/>
      <c r="Q41" s="211">
        <v>45</v>
      </c>
      <c r="R41" s="15">
        <v>4</v>
      </c>
      <c r="S41" s="15"/>
      <c r="T41" s="100"/>
      <c r="U41" s="15"/>
      <c r="V41" s="15"/>
      <c r="W41" s="15"/>
      <c r="X41" s="96"/>
      <c r="Y41" s="69">
        <f ca="1">Table25[[#This Row],[End Date]]+2-TODAY()</f>
        <v>38</v>
      </c>
      <c r="Z41" s="15">
        <f>IF(ISBLANK(Table25[[#This Row],[Roster Received By]]),1,0)</f>
        <v>1</v>
      </c>
      <c r="AA41" s="15">
        <f ca="1">IF(Table25[[#This Row],[Start Date]]&gt;TODAY(),1,)</f>
        <v>1</v>
      </c>
    </row>
    <row r="42" spans="1:27" s="103" customFormat="1" ht="14.25" hidden="1" customHeight="1" x14ac:dyDescent="0.25">
      <c r="A42" s="61"/>
      <c r="B42" s="96" t="s">
        <v>51</v>
      </c>
      <c r="C42" s="97" t="s">
        <v>136</v>
      </c>
      <c r="D42" s="97" t="s">
        <v>137</v>
      </c>
      <c r="E42" s="64" t="s">
        <v>86</v>
      </c>
      <c r="F42" s="99">
        <v>45831</v>
      </c>
      <c r="G42" s="99">
        <v>45834</v>
      </c>
      <c r="H42" s="102"/>
      <c r="I42" s="98">
        <v>0.5</v>
      </c>
      <c r="J42" s="99"/>
      <c r="K42" s="99"/>
      <c r="L42" s="99"/>
      <c r="M42" s="99"/>
      <c r="N42" s="99"/>
      <c r="O42" s="96"/>
      <c r="P42" s="96"/>
      <c r="Q42" s="211">
        <v>45</v>
      </c>
      <c r="R42" s="15">
        <v>4</v>
      </c>
      <c r="S42" s="15"/>
      <c r="T42" s="100"/>
      <c r="U42" s="15"/>
      <c r="V42" s="15"/>
      <c r="W42" s="15"/>
      <c r="X42" s="96"/>
      <c r="Y42" s="69">
        <f ca="1">Table25[[#This Row],[End Date]]+2-TODAY()</f>
        <v>59</v>
      </c>
      <c r="Z42" s="15">
        <f>IF(ISBLANK(Table25[[#This Row],[Roster Received By]]),1,0)</f>
        <v>1</v>
      </c>
      <c r="AA42" s="15">
        <f ca="1">IF(Table25[[#This Row],[Start Date]]&gt;TODAY(),1,)</f>
        <v>1</v>
      </c>
    </row>
    <row r="43" spans="1:27" s="103" customFormat="1" ht="14.25" hidden="1" customHeight="1" x14ac:dyDescent="0.25">
      <c r="A43" s="61"/>
      <c r="B43" s="96" t="s">
        <v>51</v>
      </c>
      <c r="C43" s="97" t="s">
        <v>136</v>
      </c>
      <c r="D43" s="97" t="s">
        <v>137</v>
      </c>
      <c r="E43" s="64" t="s">
        <v>86</v>
      </c>
      <c r="F43" s="66">
        <v>45845</v>
      </c>
      <c r="G43" s="99">
        <v>45848</v>
      </c>
      <c r="H43" s="102"/>
      <c r="I43" s="98">
        <v>0.5</v>
      </c>
      <c r="J43" s="99"/>
      <c r="K43" s="99"/>
      <c r="L43" s="99"/>
      <c r="M43" s="99"/>
      <c r="N43" s="99"/>
      <c r="O43" s="96"/>
      <c r="P43" s="96"/>
      <c r="Q43" s="211">
        <v>45</v>
      </c>
      <c r="R43" s="15">
        <v>4</v>
      </c>
      <c r="S43" s="15"/>
      <c r="T43" s="100"/>
      <c r="U43" s="15"/>
      <c r="V43" s="15"/>
      <c r="W43" s="15"/>
      <c r="X43" s="96"/>
      <c r="Y43" s="69">
        <f ca="1">Table25[[#This Row],[End Date]]+2-TODAY()</f>
        <v>73</v>
      </c>
      <c r="Z43" s="15">
        <f>IF(ISBLANK(Table25[[#This Row],[Roster Received By]]),1,0)</f>
        <v>1</v>
      </c>
      <c r="AA43" s="15">
        <f ca="1">IF(Table25[[#This Row],[Start Date]]&gt;TODAY(),1,)</f>
        <v>1</v>
      </c>
    </row>
    <row r="44" spans="1:27" s="103" customFormat="1" ht="14.25" hidden="1" customHeight="1" x14ac:dyDescent="0.25">
      <c r="A44" s="96"/>
      <c r="B44" s="96" t="s">
        <v>51</v>
      </c>
      <c r="C44" s="97" t="s">
        <v>136</v>
      </c>
      <c r="D44" s="97" t="s">
        <v>137</v>
      </c>
      <c r="E44" s="96" t="s">
        <v>86</v>
      </c>
      <c r="F44" s="99">
        <v>45859</v>
      </c>
      <c r="G44" s="99">
        <v>45862</v>
      </c>
      <c r="H44" s="102"/>
      <c r="I44" s="98">
        <v>0.5</v>
      </c>
      <c r="J44" s="102"/>
      <c r="K44" s="102"/>
      <c r="L44" s="102"/>
      <c r="M44" s="102"/>
      <c r="N44" s="102"/>
      <c r="O44" s="96"/>
      <c r="P44" s="96"/>
      <c r="Q44" s="211">
        <v>45</v>
      </c>
      <c r="R44" s="15">
        <v>4</v>
      </c>
      <c r="S44" s="15"/>
      <c r="T44" s="100"/>
      <c r="U44" s="15"/>
      <c r="V44" s="15"/>
      <c r="W44" s="15"/>
      <c r="X44" s="96"/>
      <c r="Y44" s="69">
        <f ca="1">Table25[[#This Row],[End Date]]+2-TODAY()</f>
        <v>87</v>
      </c>
      <c r="Z44" s="15">
        <f>IF(ISBLANK(Table25[[#This Row],[Roster Received By]]),1,0)</f>
        <v>1</v>
      </c>
      <c r="AA44" s="15">
        <f ca="1">IF(Table25[[#This Row],[Start Date]]&gt;TODAY(),1,)</f>
        <v>1</v>
      </c>
    </row>
    <row r="45" spans="1:27" s="103" customFormat="1" ht="16.5" hidden="1" customHeight="1" x14ac:dyDescent="0.25">
      <c r="A45" s="61"/>
      <c r="B45" s="96" t="s">
        <v>51</v>
      </c>
      <c r="C45" s="97" t="s">
        <v>136</v>
      </c>
      <c r="D45" s="97" t="s">
        <v>137</v>
      </c>
      <c r="E45" s="96" t="s">
        <v>86</v>
      </c>
      <c r="F45" s="99">
        <v>45887</v>
      </c>
      <c r="G45" s="99">
        <v>45890</v>
      </c>
      <c r="H45" s="99"/>
      <c r="I45" s="98">
        <v>0.5</v>
      </c>
      <c r="J45" s="98"/>
      <c r="K45" s="98"/>
      <c r="L45" s="98"/>
      <c r="M45" s="98"/>
      <c r="N45" s="98"/>
      <c r="O45" s="96"/>
      <c r="P45" s="96"/>
      <c r="Q45" s="211">
        <v>45</v>
      </c>
      <c r="R45" s="15">
        <v>4</v>
      </c>
      <c r="S45" s="15"/>
      <c r="T45" s="100"/>
      <c r="U45" s="15"/>
      <c r="V45" s="15"/>
      <c r="W45" s="15"/>
      <c r="X45" s="96"/>
      <c r="Y45" s="69">
        <f ca="1">Table25[[#This Row],[End Date]]+2-TODAY()</f>
        <v>115</v>
      </c>
      <c r="Z45" s="15">
        <f>IF(ISBLANK(Table25[[#This Row],[Roster Received By]]),1,0)</f>
        <v>1</v>
      </c>
      <c r="AA45" s="15">
        <f ca="1">IF(Table25[[#This Row],[Start Date]]&gt;TODAY(),1,)</f>
        <v>1</v>
      </c>
    </row>
    <row r="46" spans="1:27" s="103" customFormat="1" ht="16.5" hidden="1" customHeight="1" x14ac:dyDescent="0.25">
      <c r="A46" s="61"/>
      <c r="B46" s="96" t="s">
        <v>51</v>
      </c>
      <c r="C46" s="97" t="s">
        <v>136</v>
      </c>
      <c r="D46" s="97" t="s">
        <v>137</v>
      </c>
      <c r="E46" s="96" t="s">
        <v>86</v>
      </c>
      <c r="F46" s="99">
        <v>45902</v>
      </c>
      <c r="G46" s="99">
        <v>45905</v>
      </c>
      <c r="H46" s="99"/>
      <c r="I46" s="98">
        <v>0.5</v>
      </c>
      <c r="J46" s="98"/>
      <c r="K46" s="98"/>
      <c r="L46" s="98"/>
      <c r="M46" s="98"/>
      <c r="N46" s="98"/>
      <c r="O46" s="96"/>
      <c r="P46" s="96"/>
      <c r="Q46" s="211">
        <v>45</v>
      </c>
      <c r="R46" s="15">
        <v>4</v>
      </c>
      <c r="S46" s="15"/>
      <c r="T46" s="100"/>
      <c r="U46" s="15"/>
      <c r="V46" s="15"/>
      <c r="W46" s="15"/>
      <c r="X46" s="96"/>
      <c r="Y46" s="69">
        <f ca="1">Table25[[#This Row],[End Date]]+2-TODAY()</f>
        <v>130</v>
      </c>
      <c r="Z46" s="15">
        <f>IF(ISBLANK(Table25[[#This Row],[Roster Received By]]),1,0)</f>
        <v>1</v>
      </c>
      <c r="AA46" s="15">
        <f ca="1">IF(Table25[[#This Row],[Start Date]]&gt;TODAY(),1,)</f>
        <v>1</v>
      </c>
    </row>
    <row r="47" spans="1:27" s="103" customFormat="1" ht="14.25" hidden="1" customHeight="1" x14ac:dyDescent="0.25">
      <c r="A47" s="61"/>
      <c r="B47" s="96" t="s">
        <v>51</v>
      </c>
      <c r="C47" s="97" t="s">
        <v>136</v>
      </c>
      <c r="D47" s="97" t="s">
        <v>137</v>
      </c>
      <c r="E47" s="96" t="s">
        <v>86</v>
      </c>
      <c r="F47" s="107">
        <v>45922</v>
      </c>
      <c r="G47" s="107">
        <v>45925</v>
      </c>
      <c r="H47" s="99"/>
      <c r="I47" s="98">
        <v>0.5</v>
      </c>
      <c r="J47" s="98"/>
      <c r="K47" s="98"/>
      <c r="L47" s="98"/>
      <c r="M47" s="98"/>
      <c r="N47" s="98"/>
      <c r="O47" s="96"/>
      <c r="P47" s="96"/>
      <c r="Q47" s="211">
        <v>45</v>
      </c>
      <c r="R47" s="15">
        <v>4</v>
      </c>
      <c r="S47" s="15"/>
      <c r="T47" s="100"/>
      <c r="U47" s="15"/>
      <c r="V47" s="15"/>
      <c r="W47" s="15"/>
      <c r="X47" s="96"/>
      <c r="Y47" s="69">
        <f ca="1">Table25[[#This Row],[End Date]]+2-TODAY()</f>
        <v>150</v>
      </c>
      <c r="Z47" s="15">
        <f>IF(ISBLANK(Table25[[#This Row],[Roster Received By]]),1,0)</f>
        <v>1</v>
      </c>
      <c r="AA47" s="15">
        <f ca="1">IF(Table25[[#This Row],[Start Date]]&gt;TODAY(),1,)</f>
        <v>1</v>
      </c>
    </row>
    <row r="48" spans="1:27" s="103" customFormat="1" ht="14.25" hidden="1" customHeight="1" x14ac:dyDescent="0.25">
      <c r="A48" s="61"/>
      <c r="B48" s="96" t="s">
        <v>52</v>
      </c>
      <c r="C48" s="97" t="s">
        <v>143</v>
      </c>
      <c r="D48" s="97">
        <v>3555</v>
      </c>
      <c r="E48" s="96" t="s">
        <v>86</v>
      </c>
      <c r="F48" s="66">
        <v>45572</v>
      </c>
      <c r="G48" s="66">
        <v>45575</v>
      </c>
      <c r="H48" s="98"/>
      <c r="I48" s="98">
        <v>0.5</v>
      </c>
      <c r="J48" s="99"/>
      <c r="K48" s="99"/>
      <c r="L48" s="99"/>
      <c r="M48" s="99"/>
      <c r="N48" s="99"/>
      <c r="O48" s="96"/>
      <c r="P48" s="96"/>
      <c r="Q48" s="211">
        <v>45</v>
      </c>
      <c r="R48" s="15">
        <v>4</v>
      </c>
      <c r="S48" s="15"/>
      <c r="T48" s="100"/>
      <c r="U48" s="15"/>
      <c r="V48" s="15"/>
      <c r="W48" s="15"/>
      <c r="X48" s="96"/>
      <c r="Y48" s="69">
        <f ca="1">Table25[[#This Row],[End Date]]+2-TODAY()</f>
        <v>-200</v>
      </c>
      <c r="Z48" s="15">
        <f>IF(ISBLANK(Table25[[#This Row],[Roster Received By]]),1,0)</f>
        <v>1</v>
      </c>
      <c r="AA48" s="15">
        <f ca="1">IF(Table25[[#This Row],[Start Date]]&gt;TODAY(),1,)</f>
        <v>0</v>
      </c>
    </row>
    <row r="49" spans="1:27" s="103" customFormat="1" ht="14.25" hidden="1" customHeight="1" x14ac:dyDescent="0.25">
      <c r="A49" s="61"/>
      <c r="B49" s="96" t="s">
        <v>52</v>
      </c>
      <c r="C49" s="97" t="s">
        <v>143</v>
      </c>
      <c r="D49" s="97">
        <v>3555</v>
      </c>
      <c r="E49" s="64" t="s">
        <v>86</v>
      </c>
      <c r="F49" s="99">
        <v>45614</v>
      </c>
      <c r="G49" s="99">
        <v>45617</v>
      </c>
      <c r="H49" s="102"/>
      <c r="I49" s="98">
        <v>0.5</v>
      </c>
      <c r="J49" s="99"/>
      <c r="K49" s="99"/>
      <c r="L49" s="99"/>
      <c r="M49" s="99"/>
      <c r="N49" s="99"/>
      <c r="O49" s="96"/>
      <c r="P49" s="96"/>
      <c r="Q49" s="211">
        <v>45</v>
      </c>
      <c r="R49" s="15">
        <v>4</v>
      </c>
      <c r="S49" s="15"/>
      <c r="T49" s="100"/>
      <c r="U49" s="15"/>
      <c r="V49" s="15"/>
      <c r="W49" s="15"/>
      <c r="X49" s="96"/>
      <c r="Y49" s="69">
        <f ca="1">Table25[[#This Row],[End Date]]+2-TODAY()</f>
        <v>-158</v>
      </c>
      <c r="Z49" s="15">
        <f>IF(ISBLANK(Table25[[#This Row],[Roster Received By]]),1,0)</f>
        <v>1</v>
      </c>
      <c r="AA49" s="15">
        <f ca="1">IF(Table25[[#This Row],[Start Date]]&gt;TODAY(),1,)</f>
        <v>0</v>
      </c>
    </row>
    <row r="50" spans="1:27" s="103" customFormat="1" ht="14.25" hidden="1" customHeight="1" x14ac:dyDescent="0.25">
      <c r="A50" s="61"/>
      <c r="B50" s="96" t="s">
        <v>52</v>
      </c>
      <c r="C50" s="97" t="s">
        <v>143</v>
      </c>
      <c r="D50" s="97">
        <v>3555</v>
      </c>
      <c r="E50" s="96" t="s">
        <v>86</v>
      </c>
      <c r="F50" s="99">
        <v>45670</v>
      </c>
      <c r="G50" s="99">
        <v>45673</v>
      </c>
      <c r="H50" s="99"/>
      <c r="I50" s="98">
        <v>0.5</v>
      </c>
      <c r="J50" s="98"/>
      <c r="K50" s="98"/>
      <c r="L50" s="98"/>
      <c r="M50" s="98"/>
      <c r="N50" s="98"/>
      <c r="O50" s="96"/>
      <c r="P50" s="96"/>
      <c r="Q50" s="211">
        <v>45</v>
      </c>
      <c r="R50" s="15">
        <v>4</v>
      </c>
      <c r="S50" s="15"/>
      <c r="T50" s="100"/>
      <c r="U50" s="15"/>
      <c r="V50" s="15"/>
      <c r="W50" s="15"/>
      <c r="X50" s="96"/>
      <c r="Y50" s="69">
        <f ca="1">Table25[[#This Row],[End Date]]+2-TODAY()</f>
        <v>-102</v>
      </c>
      <c r="Z50" s="15">
        <f>IF(ISBLANK(Table25[[#This Row],[Roster Received By]]),1,0)</f>
        <v>1</v>
      </c>
      <c r="AA50" s="15">
        <f ca="1">IF(Table25[[#This Row],[Start Date]]&gt;TODAY(),1,)</f>
        <v>0</v>
      </c>
    </row>
    <row r="51" spans="1:27" s="136" customFormat="1" ht="14.25" hidden="1" customHeight="1" x14ac:dyDescent="0.25">
      <c r="A51" s="61"/>
      <c r="B51" s="96" t="s">
        <v>52</v>
      </c>
      <c r="C51" s="97" t="s">
        <v>143</v>
      </c>
      <c r="D51" s="97">
        <v>3555</v>
      </c>
      <c r="E51" s="96" t="s">
        <v>86</v>
      </c>
      <c r="F51" s="99">
        <v>45691</v>
      </c>
      <c r="G51" s="99">
        <v>45694</v>
      </c>
      <c r="H51" s="99"/>
      <c r="I51" s="98">
        <v>0.5</v>
      </c>
      <c r="J51" s="98"/>
      <c r="K51" s="98"/>
      <c r="L51" s="98"/>
      <c r="M51" s="98"/>
      <c r="N51" s="98"/>
      <c r="O51" s="96"/>
      <c r="P51" s="96"/>
      <c r="Q51" s="211">
        <v>45</v>
      </c>
      <c r="R51" s="15">
        <v>4</v>
      </c>
      <c r="S51" s="15"/>
      <c r="T51" s="100"/>
      <c r="U51" s="15"/>
      <c r="V51" s="15"/>
      <c r="W51" s="15"/>
      <c r="X51" s="96"/>
      <c r="Y51" s="69">
        <f ca="1">Table25[[#This Row],[End Date]]+2-TODAY()</f>
        <v>-81</v>
      </c>
      <c r="Z51" s="15">
        <f>IF(ISBLANK(Table25[[#This Row],[Roster Received By]]),1,0)</f>
        <v>1</v>
      </c>
      <c r="AA51" s="15">
        <f ca="1">IF(Table25[[#This Row],[Start Date]]&gt;TODAY(),1,)</f>
        <v>0</v>
      </c>
    </row>
    <row r="52" spans="1:27" s="132" customFormat="1" ht="14.25" hidden="1" customHeight="1" x14ac:dyDescent="0.25">
      <c r="A52" s="61"/>
      <c r="B52" s="96" t="s">
        <v>52</v>
      </c>
      <c r="C52" s="97" t="s">
        <v>143</v>
      </c>
      <c r="D52" s="97">
        <v>3555</v>
      </c>
      <c r="E52" s="96" t="s">
        <v>86</v>
      </c>
      <c r="F52" s="99">
        <v>45712</v>
      </c>
      <c r="G52" s="99">
        <v>45715</v>
      </c>
      <c r="H52" s="102"/>
      <c r="I52" s="98">
        <v>0.5</v>
      </c>
      <c r="J52" s="102"/>
      <c r="K52" s="102"/>
      <c r="L52" s="102"/>
      <c r="M52" s="102"/>
      <c r="N52" s="99"/>
      <c r="O52" s="96"/>
      <c r="P52" s="96"/>
      <c r="Q52" s="211">
        <v>45</v>
      </c>
      <c r="R52" s="15">
        <v>4</v>
      </c>
      <c r="S52" s="15"/>
      <c r="T52" s="100"/>
      <c r="U52" s="15"/>
      <c r="V52" s="15"/>
      <c r="W52" s="15"/>
      <c r="X52" s="96"/>
      <c r="Y52" s="69">
        <f ca="1">Table25[[#This Row],[End Date]]+2-TODAY()</f>
        <v>-60</v>
      </c>
      <c r="Z52" s="15">
        <f>IF(ISBLANK(Table25[[#This Row],[Roster Received By]]),1,0)</f>
        <v>1</v>
      </c>
      <c r="AA52" s="15">
        <f ca="1">IF(Table25[[#This Row],[Start Date]]&gt;TODAY(),1,)</f>
        <v>0</v>
      </c>
    </row>
    <row r="53" spans="1:27" s="132" customFormat="1" ht="14.25" hidden="1" customHeight="1" x14ac:dyDescent="0.25">
      <c r="A53" s="61"/>
      <c r="B53" s="96" t="s">
        <v>52</v>
      </c>
      <c r="C53" s="97" t="s">
        <v>143</v>
      </c>
      <c r="D53" s="97">
        <v>3555</v>
      </c>
      <c r="E53" s="96" t="s">
        <v>86</v>
      </c>
      <c r="F53" s="99">
        <v>45726</v>
      </c>
      <c r="G53" s="99">
        <v>45729</v>
      </c>
      <c r="H53" s="99"/>
      <c r="I53" s="98">
        <v>0.5</v>
      </c>
      <c r="J53" s="98"/>
      <c r="K53" s="98"/>
      <c r="L53" s="98"/>
      <c r="M53" s="98"/>
      <c r="N53" s="98"/>
      <c r="O53" s="96"/>
      <c r="P53" s="96"/>
      <c r="Q53" s="211">
        <v>45</v>
      </c>
      <c r="R53" s="15">
        <v>4</v>
      </c>
      <c r="S53" s="15"/>
      <c r="T53" s="100"/>
      <c r="U53" s="15"/>
      <c r="V53" s="15"/>
      <c r="W53" s="15"/>
      <c r="X53" s="96"/>
      <c r="Y53" s="69">
        <f ca="1">Table25[[#This Row],[End Date]]+2-TODAY()</f>
        <v>-46</v>
      </c>
      <c r="Z53" s="15">
        <f>IF(ISBLANK(Table25[[#This Row],[Roster Received By]]),1,0)</f>
        <v>1</v>
      </c>
      <c r="AA53" s="15">
        <f ca="1">IF(Table25[[#This Row],[Start Date]]&gt;TODAY(),1,)</f>
        <v>0</v>
      </c>
    </row>
    <row r="54" spans="1:27" s="103" customFormat="1" ht="14.25" hidden="1" customHeight="1" x14ac:dyDescent="0.25">
      <c r="A54" s="61"/>
      <c r="B54" s="96" t="s">
        <v>52</v>
      </c>
      <c r="C54" s="97" t="s">
        <v>143</v>
      </c>
      <c r="D54" s="97">
        <v>3555</v>
      </c>
      <c r="E54" s="96" t="s">
        <v>86</v>
      </c>
      <c r="F54" s="99">
        <v>45747</v>
      </c>
      <c r="G54" s="99">
        <v>45750</v>
      </c>
      <c r="H54" s="105"/>
      <c r="I54" s="98">
        <v>0.5</v>
      </c>
      <c r="J54" s="99"/>
      <c r="K54" s="99"/>
      <c r="L54" s="99"/>
      <c r="M54" s="99"/>
      <c r="N54" s="99"/>
      <c r="O54" s="96"/>
      <c r="P54" s="96"/>
      <c r="Q54" s="211">
        <v>45</v>
      </c>
      <c r="R54" s="15">
        <v>4</v>
      </c>
      <c r="S54" s="15"/>
      <c r="T54" s="100"/>
      <c r="U54" s="15"/>
      <c r="V54" s="15"/>
      <c r="W54" s="15"/>
      <c r="X54" s="96"/>
      <c r="Y54" s="69">
        <f ca="1">Table25[[#This Row],[End Date]]+2-TODAY()</f>
        <v>-25</v>
      </c>
      <c r="Z54" s="15">
        <f>IF(ISBLANK(Table25[[#This Row],[Roster Received By]]),1,0)</f>
        <v>1</v>
      </c>
      <c r="AA54" s="15">
        <f ca="1">IF(Table25[[#This Row],[Start Date]]&gt;TODAY(),1,)</f>
        <v>0</v>
      </c>
    </row>
    <row r="55" spans="1:27" s="103" customFormat="1" ht="14.25" hidden="1" customHeight="1" x14ac:dyDescent="0.25">
      <c r="A55" s="61"/>
      <c r="B55" s="96" t="s">
        <v>52</v>
      </c>
      <c r="C55" s="97" t="s">
        <v>143</v>
      </c>
      <c r="D55" s="97">
        <v>3555</v>
      </c>
      <c r="E55" s="64" t="s">
        <v>86</v>
      </c>
      <c r="F55" s="99">
        <v>45782</v>
      </c>
      <c r="G55" s="99">
        <v>45785</v>
      </c>
      <c r="H55" s="102"/>
      <c r="I55" s="98">
        <v>0.5</v>
      </c>
      <c r="J55" s="99"/>
      <c r="K55" s="99"/>
      <c r="L55" s="99"/>
      <c r="M55" s="99"/>
      <c r="N55" s="99"/>
      <c r="O55" s="96"/>
      <c r="P55" s="96"/>
      <c r="Q55" s="211">
        <v>45</v>
      </c>
      <c r="R55" s="15">
        <v>4</v>
      </c>
      <c r="S55" s="15"/>
      <c r="T55" s="100"/>
      <c r="U55" s="15"/>
      <c r="V55" s="15"/>
      <c r="W55" s="15"/>
      <c r="X55" s="96"/>
      <c r="Y55" s="69">
        <f ca="1">Table25[[#This Row],[End Date]]+2-TODAY()</f>
        <v>10</v>
      </c>
      <c r="Z55" s="15">
        <f>IF(ISBLANK(Table25[[#This Row],[Roster Received By]]),1,0)</f>
        <v>1</v>
      </c>
      <c r="AA55" s="15">
        <f ca="1">IF(Table25[[#This Row],[Start Date]]&gt;TODAY(),1,)</f>
        <v>1</v>
      </c>
    </row>
    <row r="56" spans="1:27" s="103" customFormat="1" ht="14.25" hidden="1" customHeight="1" x14ac:dyDescent="0.25">
      <c r="A56" s="61"/>
      <c r="B56" s="96" t="s">
        <v>52</v>
      </c>
      <c r="C56" s="97" t="s">
        <v>143</v>
      </c>
      <c r="D56" s="97">
        <v>3555</v>
      </c>
      <c r="E56" s="64" t="s">
        <v>86</v>
      </c>
      <c r="F56" s="99">
        <v>45804</v>
      </c>
      <c r="G56" s="99">
        <v>45807</v>
      </c>
      <c r="H56" s="102"/>
      <c r="I56" s="98">
        <v>0.5</v>
      </c>
      <c r="J56" s="99"/>
      <c r="K56" s="99"/>
      <c r="L56" s="99"/>
      <c r="M56" s="99"/>
      <c r="N56" s="99"/>
      <c r="O56" s="96"/>
      <c r="P56" s="96"/>
      <c r="Q56" s="211">
        <v>45</v>
      </c>
      <c r="R56" s="15">
        <v>4</v>
      </c>
      <c r="S56" s="15"/>
      <c r="T56" s="100"/>
      <c r="U56" s="15"/>
      <c r="V56" s="15"/>
      <c r="W56" s="15"/>
      <c r="X56" s="96"/>
      <c r="Y56" s="69">
        <f ca="1">Table25[[#This Row],[End Date]]+2-TODAY()</f>
        <v>32</v>
      </c>
      <c r="Z56" s="15">
        <f>IF(ISBLANK(Table25[[#This Row],[Roster Received By]]),1,0)</f>
        <v>1</v>
      </c>
      <c r="AA56" s="15">
        <f ca="1">IF(Table25[[#This Row],[Start Date]]&gt;TODAY(),1,)</f>
        <v>1</v>
      </c>
    </row>
    <row r="57" spans="1:27" s="103" customFormat="1" ht="14.25" hidden="1" customHeight="1" x14ac:dyDescent="0.25">
      <c r="A57" s="61"/>
      <c r="B57" s="96" t="s">
        <v>52</v>
      </c>
      <c r="C57" s="97" t="s">
        <v>143</v>
      </c>
      <c r="D57" s="97">
        <v>3555</v>
      </c>
      <c r="E57" s="96" t="s">
        <v>86</v>
      </c>
      <c r="F57" s="99">
        <v>45817</v>
      </c>
      <c r="G57" s="99">
        <v>45820</v>
      </c>
      <c r="H57" s="99"/>
      <c r="I57" s="98">
        <v>0.5</v>
      </c>
      <c r="J57" s="98"/>
      <c r="K57" s="98"/>
      <c r="L57" s="98"/>
      <c r="M57" s="98"/>
      <c r="N57" s="98"/>
      <c r="O57" s="96"/>
      <c r="P57" s="96"/>
      <c r="Q57" s="211">
        <v>45</v>
      </c>
      <c r="R57" s="15">
        <v>4</v>
      </c>
      <c r="S57" s="15"/>
      <c r="T57" s="100"/>
      <c r="U57" s="15"/>
      <c r="V57" s="15"/>
      <c r="W57" s="15"/>
      <c r="X57" s="96"/>
      <c r="Y57" s="69">
        <f ca="1">Table25[[#This Row],[End Date]]+2-TODAY()</f>
        <v>45</v>
      </c>
      <c r="Z57" s="15">
        <f>IF(ISBLANK(Table25[[#This Row],[Roster Received By]]),1,0)</f>
        <v>1</v>
      </c>
      <c r="AA57" s="15">
        <f ca="1">IF(Table25[[#This Row],[Start Date]]&gt;TODAY(),1,)</f>
        <v>1</v>
      </c>
    </row>
    <row r="58" spans="1:27" s="103" customFormat="1" ht="14.25" hidden="1" customHeight="1" x14ac:dyDescent="0.25">
      <c r="A58" s="61"/>
      <c r="B58" s="96" t="s">
        <v>52</v>
      </c>
      <c r="C58" s="97" t="s">
        <v>143</v>
      </c>
      <c r="D58" s="97">
        <v>3555</v>
      </c>
      <c r="E58" s="96" t="s">
        <v>86</v>
      </c>
      <c r="F58" s="99">
        <v>45831</v>
      </c>
      <c r="G58" s="99">
        <v>45834</v>
      </c>
      <c r="H58" s="102"/>
      <c r="I58" s="98">
        <v>0.5</v>
      </c>
      <c r="J58" s="99"/>
      <c r="K58" s="99"/>
      <c r="L58" s="99"/>
      <c r="M58" s="99"/>
      <c r="N58" s="99"/>
      <c r="O58" s="96"/>
      <c r="P58" s="96"/>
      <c r="Q58" s="211">
        <v>45</v>
      </c>
      <c r="R58" s="15">
        <v>4</v>
      </c>
      <c r="S58" s="15"/>
      <c r="T58" s="100"/>
      <c r="U58" s="15"/>
      <c r="V58" s="15"/>
      <c r="W58" s="15"/>
      <c r="X58" s="96"/>
      <c r="Y58" s="69">
        <f ca="1">Table25[[#This Row],[End Date]]+2-TODAY()</f>
        <v>59</v>
      </c>
      <c r="Z58" s="15">
        <f>IF(ISBLANK(Table25[[#This Row],[Roster Received By]]),1,0)</f>
        <v>1</v>
      </c>
      <c r="AA58" s="15">
        <f ca="1">IF(Table25[[#This Row],[Start Date]]&gt;TODAY(),1,)</f>
        <v>1</v>
      </c>
    </row>
    <row r="59" spans="1:27" s="103" customFormat="1" ht="16.5" hidden="1" customHeight="1" x14ac:dyDescent="0.25">
      <c r="A59" s="61"/>
      <c r="B59" s="96" t="s">
        <v>52</v>
      </c>
      <c r="C59" s="97" t="s">
        <v>143</v>
      </c>
      <c r="D59" s="97">
        <v>3555</v>
      </c>
      <c r="E59" s="96" t="s">
        <v>86</v>
      </c>
      <c r="F59" s="66">
        <v>45866</v>
      </c>
      <c r="G59" s="66">
        <v>45869</v>
      </c>
      <c r="H59" s="66"/>
      <c r="I59" s="98">
        <v>0.5</v>
      </c>
      <c r="J59" s="98"/>
      <c r="K59" s="98"/>
      <c r="L59" s="98"/>
      <c r="M59" s="98"/>
      <c r="N59" s="98"/>
      <c r="O59" s="96"/>
      <c r="P59" s="96"/>
      <c r="Q59" s="211">
        <v>45</v>
      </c>
      <c r="R59" s="15">
        <v>4</v>
      </c>
      <c r="S59" s="15"/>
      <c r="T59" s="100"/>
      <c r="U59" s="15"/>
      <c r="V59" s="15"/>
      <c r="W59" s="15"/>
      <c r="X59" s="96"/>
      <c r="Y59" s="69">
        <f ca="1">Table25[[#This Row],[End Date]]+2-TODAY()</f>
        <v>94</v>
      </c>
      <c r="Z59" s="15">
        <f>IF(ISBLANK(Table25[[#This Row],[Roster Received By]]),1,0)</f>
        <v>1</v>
      </c>
      <c r="AA59" s="15">
        <f ca="1">IF(Table25[[#This Row],[Start Date]]&gt;TODAY(),1,)</f>
        <v>1</v>
      </c>
    </row>
    <row r="60" spans="1:27" s="103" customFormat="1" ht="14.25" hidden="1" customHeight="1" x14ac:dyDescent="0.25">
      <c r="A60" s="61"/>
      <c r="B60" s="96" t="s">
        <v>52</v>
      </c>
      <c r="C60" s="97" t="s">
        <v>143</v>
      </c>
      <c r="D60" s="97">
        <v>3555</v>
      </c>
      <c r="E60" s="96" t="s">
        <v>86</v>
      </c>
      <c r="F60" s="99">
        <v>45880</v>
      </c>
      <c r="G60" s="99">
        <v>45883</v>
      </c>
      <c r="H60" s="99"/>
      <c r="I60" s="98">
        <v>0.5</v>
      </c>
      <c r="J60" s="98"/>
      <c r="K60" s="98"/>
      <c r="L60" s="98"/>
      <c r="M60" s="98"/>
      <c r="N60" s="98"/>
      <c r="O60" s="96"/>
      <c r="P60" s="96"/>
      <c r="Q60" s="211">
        <v>45</v>
      </c>
      <c r="R60" s="15">
        <v>4</v>
      </c>
      <c r="S60" s="15"/>
      <c r="T60" s="100"/>
      <c r="U60" s="15"/>
      <c r="V60" s="15"/>
      <c r="W60" s="15"/>
      <c r="X60" s="96"/>
      <c r="Y60" s="69">
        <f ca="1">Table25[[#This Row],[End Date]]+2-TODAY()</f>
        <v>108</v>
      </c>
      <c r="Z60" s="15">
        <f>IF(ISBLANK(Table25[[#This Row],[Roster Received By]]),1,0)</f>
        <v>1</v>
      </c>
      <c r="AA60" s="15">
        <f ca="1">IF(Table25[[#This Row],[Start Date]]&gt;TODAY(),1,)</f>
        <v>1</v>
      </c>
    </row>
    <row r="61" spans="1:27" s="103" customFormat="1" ht="16.5" hidden="1" customHeight="1" x14ac:dyDescent="0.25">
      <c r="A61" s="61"/>
      <c r="B61" s="96" t="s">
        <v>52</v>
      </c>
      <c r="C61" s="97" t="s">
        <v>143</v>
      </c>
      <c r="D61" s="97">
        <v>3555</v>
      </c>
      <c r="E61" s="96" t="s">
        <v>86</v>
      </c>
      <c r="F61" s="99">
        <v>45894</v>
      </c>
      <c r="G61" s="99">
        <v>45897</v>
      </c>
      <c r="H61" s="99"/>
      <c r="I61" s="98">
        <v>0.5</v>
      </c>
      <c r="J61" s="98"/>
      <c r="K61" s="98"/>
      <c r="L61" s="98"/>
      <c r="M61" s="98"/>
      <c r="N61" s="98"/>
      <c r="O61" s="96"/>
      <c r="P61" s="96"/>
      <c r="Q61" s="211">
        <v>45</v>
      </c>
      <c r="R61" s="15">
        <v>4</v>
      </c>
      <c r="S61" s="15"/>
      <c r="T61" s="100"/>
      <c r="U61" s="15"/>
      <c r="V61" s="15"/>
      <c r="W61" s="15"/>
      <c r="X61" s="96"/>
      <c r="Y61" s="69">
        <f ca="1">Table25[[#This Row],[End Date]]+2-TODAY()</f>
        <v>122</v>
      </c>
      <c r="Z61" s="15">
        <f>IF(ISBLANK(Table25[[#This Row],[Roster Received By]]),1,0)</f>
        <v>1</v>
      </c>
      <c r="AA61" s="15">
        <f ca="1">IF(Table25[[#This Row],[Start Date]]&gt;TODAY(),1,)</f>
        <v>1</v>
      </c>
    </row>
    <row r="62" spans="1:27" s="132" customFormat="1" ht="14.25" hidden="1" customHeight="1" x14ac:dyDescent="0.25">
      <c r="A62" s="61"/>
      <c r="B62" s="96" t="s">
        <v>52</v>
      </c>
      <c r="C62" s="97" t="s">
        <v>143</v>
      </c>
      <c r="D62" s="97">
        <v>3555</v>
      </c>
      <c r="E62" s="96" t="s">
        <v>86</v>
      </c>
      <c r="F62" s="99">
        <v>45908</v>
      </c>
      <c r="G62" s="99">
        <v>45911</v>
      </c>
      <c r="H62" s="99"/>
      <c r="I62" s="98">
        <v>0.5</v>
      </c>
      <c r="J62" s="98"/>
      <c r="K62" s="98"/>
      <c r="L62" s="98"/>
      <c r="M62" s="98"/>
      <c r="N62" s="98"/>
      <c r="O62" s="96"/>
      <c r="P62" s="96"/>
      <c r="Q62" s="211">
        <v>45</v>
      </c>
      <c r="R62" s="15">
        <v>4</v>
      </c>
      <c r="S62" s="15"/>
      <c r="T62" s="100"/>
      <c r="U62" s="15"/>
      <c r="V62" s="15"/>
      <c r="W62" s="104"/>
      <c r="X62" s="96"/>
      <c r="Y62" s="69">
        <f ca="1">Table25[[#This Row],[End Date]]+2-TODAY()</f>
        <v>136</v>
      </c>
      <c r="Z62" s="15">
        <f>IF(ISBLANK(Table25[[#This Row],[Roster Received By]]),1,0)</f>
        <v>1</v>
      </c>
      <c r="AA62" s="15">
        <f ca="1">IF(Table25[[#This Row],[Start Date]]&gt;TODAY(),1,)</f>
        <v>1</v>
      </c>
    </row>
    <row r="63" spans="1:27" s="103" customFormat="1" ht="14.25" hidden="1" customHeight="1" x14ac:dyDescent="0.25">
      <c r="A63" s="61"/>
      <c r="B63" s="96" t="s">
        <v>52</v>
      </c>
      <c r="C63" s="97" t="s">
        <v>143</v>
      </c>
      <c r="D63" s="97">
        <v>3555</v>
      </c>
      <c r="E63" s="96" t="s">
        <v>86</v>
      </c>
      <c r="F63" s="99">
        <v>45922</v>
      </c>
      <c r="G63" s="99">
        <v>45925</v>
      </c>
      <c r="H63" s="102"/>
      <c r="I63" s="98">
        <v>0.5</v>
      </c>
      <c r="J63" s="99"/>
      <c r="K63" s="99"/>
      <c r="L63" s="99"/>
      <c r="M63" s="99"/>
      <c r="N63" s="99"/>
      <c r="O63" s="96"/>
      <c r="P63" s="96"/>
      <c r="Q63" s="211">
        <v>45</v>
      </c>
      <c r="R63" s="15">
        <v>4</v>
      </c>
      <c r="S63" s="15"/>
      <c r="T63" s="100"/>
      <c r="U63" s="15"/>
      <c r="V63" s="15"/>
      <c r="W63" s="15"/>
      <c r="X63" s="96"/>
      <c r="Y63" s="69">
        <f ca="1">Table25[[#This Row],[End Date]]+2-TODAY()</f>
        <v>150</v>
      </c>
      <c r="Z63" s="15">
        <f>IF(ISBLANK(Table25[[#This Row],[Roster Received By]]),1,0)</f>
        <v>1</v>
      </c>
      <c r="AA63" s="15">
        <f ca="1">IF(Table25[[#This Row],[Start Date]]&gt;TODAY(),1,)</f>
        <v>1</v>
      </c>
    </row>
    <row r="64" spans="1:27" s="103" customFormat="1" ht="14.25" hidden="1" customHeight="1" x14ac:dyDescent="0.25">
      <c r="A64" s="61"/>
      <c r="B64" s="134" t="s">
        <v>49</v>
      </c>
      <c r="C64" s="97" t="s">
        <v>133</v>
      </c>
      <c r="D64" s="97">
        <v>5891</v>
      </c>
      <c r="E64" s="96" t="s">
        <v>177</v>
      </c>
      <c r="F64" s="99">
        <v>45804</v>
      </c>
      <c r="G64" s="99">
        <v>45806</v>
      </c>
      <c r="H64" s="102">
        <v>0.33333333333333331</v>
      </c>
      <c r="I64" s="98"/>
      <c r="J64" s="98"/>
      <c r="K64" s="98"/>
      <c r="L64" s="98"/>
      <c r="M64" s="98"/>
      <c r="N64" s="98"/>
      <c r="O64" s="96"/>
      <c r="P64" s="96"/>
      <c r="Q64" s="15">
        <v>25</v>
      </c>
      <c r="R64" s="15">
        <v>3</v>
      </c>
      <c r="S64" s="15"/>
      <c r="T64" s="100"/>
      <c r="U64" s="15"/>
      <c r="V64" s="15"/>
      <c r="W64" s="101"/>
      <c r="X64" s="96"/>
      <c r="Y64" s="69">
        <f ca="1">Table25[[#This Row],[End Date]]+2-TODAY()</f>
        <v>31</v>
      </c>
      <c r="Z64" s="15">
        <f>IF(ISBLANK(Table25[[#This Row],[Roster Received By]]),1,0)</f>
        <v>1</v>
      </c>
      <c r="AA64" s="15">
        <f ca="1">IF(Table25[[#This Row],[Start Date]]&gt;TODAY(),1,)</f>
        <v>1</v>
      </c>
    </row>
    <row r="65" spans="1:27" s="103" customFormat="1" ht="14.25" customHeight="1" x14ac:dyDescent="0.25">
      <c r="A65" s="61"/>
      <c r="B65" s="96" t="s">
        <v>53</v>
      </c>
      <c r="C65" s="97" t="s">
        <v>148</v>
      </c>
      <c r="D65" s="97" t="s">
        <v>149</v>
      </c>
      <c r="E65" s="96" t="s">
        <v>179</v>
      </c>
      <c r="F65" s="99">
        <v>45628</v>
      </c>
      <c r="G65" s="99">
        <v>45632</v>
      </c>
      <c r="H65" s="102">
        <v>0.33333333333333331</v>
      </c>
      <c r="I65" s="98"/>
      <c r="J65" s="102"/>
      <c r="K65" s="102"/>
      <c r="L65" s="102"/>
      <c r="M65" s="102"/>
      <c r="N65" s="102"/>
      <c r="O65" s="96"/>
      <c r="P65" s="96"/>
      <c r="Q65" s="15">
        <v>30</v>
      </c>
      <c r="R65" s="15">
        <v>5</v>
      </c>
      <c r="S65" s="15"/>
      <c r="T65" s="100"/>
      <c r="U65" s="15"/>
      <c r="V65" s="15"/>
      <c r="W65" s="97"/>
      <c r="X65" s="96"/>
      <c r="Y65" s="69">
        <f ca="1">Table25[[#This Row],[End Date]]+2-TODAY()</f>
        <v>-143</v>
      </c>
      <c r="Z65" s="15">
        <f>IF(ISBLANK(Table25[[#This Row],[Roster Received By]]),1,0)</f>
        <v>1</v>
      </c>
      <c r="AA65" s="15">
        <f ca="1">IF(Table25[[#This Row],[Start Date]]&gt;TODAY(),1,)</f>
        <v>0</v>
      </c>
    </row>
    <row r="66" spans="1:27" s="103" customFormat="1" ht="14.25" customHeight="1" x14ac:dyDescent="0.25">
      <c r="A66" s="61"/>
      <c r="B66" s="96" t="s">
        <v>53</v>
      </c>
      <c r="C66" s="97" t="s">
        <v>148</v>
      </c>
      <c r="D66" s="97" t="s">
        <v>149</v>
      </c>
      <c r="E66" s="96" t="s">
        <v>184</v>
      </c>
      <c r="F66" s="99">
        <v>45796</v>
      </c>
      <c r="G66" s="99">
        <v>45800</v>
      </c>
      <c r="H66" s="102">
        <v>0.33333333333333331</v>
      </c>
      <c r="I66" s="102"/>
      <c r="J66" s="99"/>
      <c r="K66" s="99"/>
      <c r="L66" s="99"/>
      <c r="M66" s="99"/>
      <c r="N66" s="99"/>
      <c r="O66" s="96"/>
      <c r="P66" s="96"/>
      <c r="Q66" s="15">
        <v>30</v>
      </c>
      <c r="R66" s="15">
        <v>5</v>
      </c>
      <c r="S66" s="15"/>
      <c r="T66" s="100"/>
      <c r="U66" s="15"/>
      <c r="V66" s="15"/>
      <c r="W66" s="15"/>
      <c r="X66" s="96"/>
      <c r="Y66" s="69">
        <f ca="1">Table25[[#This Row],[End Date]]+2-TODAY()</f>
        <v>25</v>
      </c>
      <c r="Z66" s="15">
        <f>IF(ISBLANK(Table25[[#This Row],[Roster Received By]]),1,0)</f>
        <v>1</v>
      </c>
      <c r="AA66" s="15">
        <f ca="1">IF(Table25[[#This Row],[Start Date]]&gt;TODAY(),1,)</f>
        <v>1</v>
      </c>
    </row>
    <row r="67" spans="1:27" s="103" customFormat="1" ht="14.25" hidden="1" customHeight="1" x14ac:dyDescent="0.25">
      <c r="A67" s="61"/>
      <c r="B67" s="96" t="s">
        <v>49</v>
      </c>
      <c r="C67" s="97" t="s">
        <v>133</v>
      </c>
      <c r="D67" s="97">
        <v>5891</v>
      </c>
      <c r="E67" s="96" t="s">
        <v>185</v>
      </c>
      <c r="F67" s="99">
        <v>45839</v>
      </c>
      <c r="G67" s="99">
        <v>45841</v>
      </c>
      <c r="H67" s="102">
        <v>0.33333333333333331</v>
      </c>
      <c r="I67" s="98"/>
      <c r="J67" s="98"/>
      <c r="K67" s="98"/>
      <c r="L67" s="98"/>
      <c r="M67" s="98"/>
      <c r="N67" s="98"/>
      <c r="O67" s="96"/>
      <c r="P67" s="96"/>
      <c r="Q67" s="15">
        <v>25</v>
      </c>
      <c r="R67" s="15">
        <v>3</v>
      </c>
      <c r="S67" s="15"/>
      <c r="T67" s="100"/>
      <c r="U67" s="15"/>
      <c r="V67" s="15"/>
      <c r="W67" s="15"/>
      <c r="X67" s="96"/>
      <c r="Y67" s="69">
        <f ca="1">Table25[[#This Row],[End Date]]+2-TODAY()</f>
        <v>66</v>
      </c>
      <c r="Z67" s="15">
        <f>IF(ISBLANK(Table25[[#This Row],[Roster Received By]]),1,0)</f>
        <v>1</v>
      </c>
      <c r="AA67" s="15">
        <f ca="1">IF(Table25[[#This Row],[Start Date]]&gt;TODAY(),1,)</f>
        <v>1</v>
      </c>
    </row>
    <row r="68" spans="1:27" s="103" customFormat="1" ht="14.25" customHeight="1" x14ac:dyDescent="0.25">
      <c r="A68" s="61"/>
      <c r="B68" s="96" t="s">
        <v>53</v>
      </c>
      <c r="C68" s="97" t="s">
        <v>148</v>
      </c>
      <c r="D68" s="97" t="s">
        <v>149</v>
      </c>
      <c r="E68" s="96" t="s">
        <v>185</v>
      </c>
      <c r="F68" s="66">
        <v>45845</v>
      </c>
      <c r="G68" s="66">
        <v>45849</v>
      </c>
      <c r="H68" s="102">
        <v>0.33333333333333331</v>
      </c>
      <c r="I68" s="98"/>
      <c r="J68" s="98"/>
      <c r="K68" s="98"/>
      <c r="L68" s="98"/>
      <c r="M68" s="98"/>
      <c r="N68" s="98"/>
      <c r="O68" s="96"/>
      <c r="P68" s="96"/>
      <c r="Q68" s="15">
        <v>30</v>
      </c>
      <c r="R68" s="15">
        <v>5</v>
      </c>
      <c r="S68" s="15"/>
      <c r="T68" s="100"/>
      <c r="U68" s="15"/>
      <c r="V68" s="15"/>
      <c r="W68" s="15"/>
      <c r="X68" s="96"/>
      <c r="Y68" s="69">
        <f ca="1">Table25[[#This Row],[End Date]]+2-TODAY()</f>
        <v>74</v>
      </c>
      <c r="Z68" s="15">
        <f>IF(ISBLANK(Table25[[#This Row],[Roster Received By]]),1,0)</f>
        <v>1</v>
      </c>
      <c r="AA68" s="15">
        <f ca="1">IF(Table25[[#This Row],[Start Date]]&gt;TODAY(),1,)</f>
        <v>1</v>
      </c>
    </row>
    <row r="69" spans="1:27" s="103" customFormat="1" ht="14.25" customHeight="1" x14ac:dyDescent="0.25">
      <c r="A69" s="61"/>
      <c r="B69" s="96" t="s">
        <v>53</v>
      </c>
      <c r="C69" s="97" t="s">
        <v>148</v>
      </c>
      <c r="D69" s="97" t="s">
        <v>149</v>
      </c>
      <c r="E69" s="96" t="s">
        <v>188</v>
      </c>
      <c r="F69" s="99">
        <v>45684</v>
      </c>
      <c r="G69" s="99">
        <v>45688</v>
      </c>
      <c r="H69" s="102">
        <v>0.33333333333333331</v>
      </c>
      <c r="I69" s="98"/>
      <c r="J69" s="102"/>
      <c r="K69" s="102"/>
      <c r="L69" s="102"/>
      <c r="M69" s="102"/>
      <c r="N69" s="102"/>
      <c r="O69" s="96"/>
      <c r="P69" s="96"/>
      <c r="Q69" s="15">
        <v>30</v>
      </c>
      <c r="R69" s="15">
        <v>5</v>
      </c>
      <c r="S69" s="15"/>
      <c r="T69" s="100"/>
      <c r="U69" s="15"/>
      <c r="V69" s="15"/>
      <c r="W69" s="15"/>
      <c r="X69" s="96"/>
      <c r="Y69" s="69">
        <f ca="1">Table25[[#This Row],[End Date]]+2-TODAY()</f>
        <v>-87</v>
      </c>
      <c r="Z69" s="15">
        <f>IF(ISBLANK(Table25[[#This Row],[Roster Received By]]),1,0)</f>
        <v>1</v>
      </c>
      <c r="AA69" s="15">
        <f ca="1">IF(Table25[[#This Row],[Start Date]]&gt;TODAY(),1,)</f>
        <v>0</v>
      </c>
    </row>
    <row r="70" spans="1:27" s="103" customFormat="1" ht="14.25" customHeight="1" x14ac:dyDescent="0.25">
      <c r="A70" s="61"/>
      <c r="B70" s="96" t="s">
        <v>53</v>
      </c>
      <c r="C70" s="97" t="s">
        <v>148</v>
      </c>
      <c r="D70" s="97" t="s">
        <v>149</v>
      </c>
      <c r="E70" s="96" t="s">
        <v>188</v>
      </c>
      <c r="F70" s="66">
        <v>45831</v>
      </c>
      <c r="G70" s="66">
        <v>45835</v>
      </c>
      <c r="H70" s="102">
        <v>0.33333333333333331</v>
      </c>
      <c r="I70" s="98"/>
      <c r="J70" s="98"/>
      <c r="K70" s="98"/>
      <c r="L70" s="98"/>
      <c r="M70" s="98"/>
      <c r="N70" s="98"/>
      <c r="O70" s="96"/>
      <c r="P70" s="96"/>
      <c r="Q70" s="15">
        <v>30</v>
      </c>
      <c r="R70" s="15">
        <v>5</v>
      </c>
      <c r="S70" s="15"/>
      <c r="T70" s="100"/>
      <c r="U70" s="15"/>
      <c r="V70" s="15"/>
      <c r="W70" s="15"/>
      <c r="X70" s="96"/>
      <c r="Y70" s="69">
        <f ca="1">Table25[[#This Row],[End Date]]+2-TODAY()</f>
        <v>60</v>
      </c>
      <c r="Z70" s="15">
        <f>IF(ISBLANK(Table25[[#This Row],[Roster Received By]]),1,0)</f>
        <v>1</v>
      </c>
      <c r="AA70" s="15">
        <f ca="1">IF(Table25[[#This Row],[Start Date]]&gt;TODAY(),1,)</f>
        <v>1</v>
      </c>
    </row>
    <row r="71" spans="1:27" s="103" customFormat="1" ht="14.25" customHeight="1" x14ac:dyDescent="0.25">
      <c r="A71" s="61"/>
      <c r="B71" s="96" t="s">
        <v>53</v>
      </c>
      <c r="C71" s="97" t="s">
        <v>148</v>
      </c>
      <c r="D71" s="97" t="s">
        <v>149</v>
      </c>
      <c r="E71" s="96" t="s">
        <v>192</v>
      </c>
      <c r="F71" s="99">
        <v>45852</v>
      </c>
      <c r="G71" s="99">
        <v>45856</v>
      </c>
      <c r="H71" s="102">
        <v>0.33333333333333331</v>
      </c>
      <c r="I71" s="98"/>
      <c r="J71" s="98"/>
      <c r="K71" s="98"/>
      <c r="L71" s="98"/>
      <c r="M71" s="98"/>
      <c r="N71" s="98"/>
      <c r="O71" s="96"/>
      <c r="P71" s="96"/>
      <c r="Q71" s="15">
        <v>30</v>
      </c>
      <c r="R71" s="15">
        <v>5</v>
      </c>
      <c r="S71" s="15"/>
      <c r="T71" s="100"/>
      <c r="U71" s="15"/>
      <c r="V71" s="15"/>
      <c r="W71" s="15"/>
      <c r="X71" s="96"/>
      <c r="Y71" s="69">
        <f ca="1">Table25[[#This Row],[End Date]]+2-TODAY()</f>
        <v>81</v>
      </c>
      <c r="Z71" s="15">
        <f>IF(ISBLANK(Table25[[#This Row],[Roster Received By]]),1,0)</f>
        <v>1</v>
      </c>
      <c r="AA71" s="15">
        <f ca="1">IF(Table25[[#This Row],[Start Date]]&gt;TODAY(),1,)</f>
        <v>1</v>
      </c>
    </row>
    <row r="72" spans="1:27" s="103" customFormat="1" ht="14.25" customHeight="1" x14ac:dyDescent="0.25">
      <c r="A72" s="61"/>
      <c r="B72" s="96" t="s">
        <v>53</v>
      </c>
      <c r="C72" s="97" t="s">
        <v>148</v>
      </c>
      <c r="D72" s="97" t="s">
        <v>149</v>
      </c>
      <c r="E72" s="96" t="s">
        <v>194</v>
      </c>
      <c r="F72" s="99">
        <v>45719</v>
      </c>
      <c r="G72" s="99">
        <v>45723</v>
      </c>
      <c r="H72" s="102">
        <v>0.33333333333333331</v>
      </c>
      <c r="I72" s="98"/>
      <c r="J72" s="102"/>
      <c r="K72" s="102"/>
      <c r="L72" s="102"/>
      <c r="M72" s="102"/>
      <c r="N72" s="102"/>
      <c r="O72" s="96"/>
      <c r="P72" s="96"/>
      <c r="Q72" s="15">
        <v>30</v>
      </c>
      <c r="R72" s="15">
        <v>5</v>
      </c>
      <c r="S72" s="15"/>
      <c r="T72" s="100"/>
      <c r="U72" s="15"/>
      <c r="V72" s="15"/>
      <c r="W72" s="100"/>
      <c r="X72" s="96"/>
      <c r="Y72" s="69">
        <f ca="1">Table25[[#This Row],[End Date]]+2-TODAY()</f>
        <v>-52</v>
      </c>
      <c r="Z72" s="15">
        <f>IF(ISBLANK(Table25[[#This Row],[Roster Received By]]),1,0)</f>
        <v>1</v>
      </c>
      <c r="AA72" s="15">
        <f ca="1">IF(Table25[[#This Row],[Start Date]]&gt;TODAY(),1,)</f>
        <v>0</v>
      </c>
    </row>
    <row r="73" spans="1:27" s="103" customFormat="1" ht="14.25" hidden="1" customHeight="1" x14ac:dyDescent="0.25">
      <c r="A73" s="96"/>
      <c r="B73" s="96" t="s">
        <v>41</v>
      </c>
      <c r="C73" s="97" t="s">
        <v>91</v>
      </c>
      <c r="D73" s="97">
        <v>3878</v>
      </c>
      <c r="E73" s="64" t="s">
        <v>198</v>
      </c>
      <c r="F73" s="99">
        <v>45593</v>
      </c>
      <c r="G73" s="99">
        <v>45595</v>
      </c>
      <c r="H73" s="102">
        <v>0.33333333333333331</v>
      </c>
      <c r="I73" s="102"/>
      <c r="J73" s="99"/>
      <c r="K73" s="99"/>
      <c r="L73" s="99"/>
      <c r="M73" s="99"/>
      <c r="N73" s="99"/>
      <c r="O73" s="96"/>
      <c r="P73" s="96"/>
      <c r="Q73" s="15">
        <v>25</v>
      </c>
      <c r="R73" s="15">
        <v>3</v>
      </c>
      <c r="S73" s="15"/>
      <c r="T73" s="100"/>
      <c r="U73" s="15"/>
      <c r="V73" s="15"/>
      <c r="W73" s="15"/>
      <c r="X73" s="96"/>
      <c r="Y73" s="69">
        <f ca="1">Table25[[#This Row],[End Date]]+2-TODAY()</f>
        <v>-180</v>
      </c>
      <c r="Z73" s="15">
        <f>IF(ISBLANK(Table25[[#This Row],[Roster Received By]]),1,0)</f>
        <v>1</v>
      </c>
      <c r="AA73" s="15">
        <f ca="1">IF(Table25[[#This Row],[Start Date]]&gt;TODAY(),1,)</f>
        <v>0</v>
      </c>
    </row>
    <row r="74" spans="1:27" s="103" customFormat="1" ht="14.25" hidden="1" customHeight="1" x14ac:dyDescent="0.25">
      <c r="A74" s="61"/>
      <c r="B74" s="96" t="s">
        <v>42</v>
      </c>
      <c r="C74" s="97" t="s">
        <v>92</v>
      </c>
      <c r="D74" s="97">
        <v>3879</v>
      </c>
      <c r="E74" s="96" t="s">
        <v>198</v>
      </c>
      <c r="F74" s="99">
        <v>45581</v>
      </c>
      <c r="G74" s="99">
        <v>45581</v>
      </c>
      <c r="H74" s="102">
        <v>0.33333333333333331</v>
      </c>
      <c r="I74" s="98"/>
      <c r="J74" s="98"/>
      <c r="K74" s="98"/>
      <c r="L74" s="98"/>
      <c r="M74" s="98"/>
      <c r="N74" s="98"/>
      <c r="O74" s="96"/>
      <c r="P74" s="96"/>
      <c r="Q74" s="15">
        <v>30</v>
      </c>
      <c r="R74" s="15">
        <v>1</v>
      </c>
      <c r="S74" s="15"/>
      <c r="T74" s="100"/>
      <c r="U74" s="15"/>
      <c r="V74" s="15"/>
      <c r="W74" s="15"/>
      <c r="X74" s="96"/>
      <c r="Y74" s="69">
        <f ca="1">Table25[[#This Row],[End Date]]+2-TODAY()</f>
        <v>-194</v>
      </c>
      <c r="Z74" s="15">
        <f>IF(ISBLANK(Table25[[#This Row],[Roster Received By]]),1,0)</f>
        <v>1</v>
      </c>
      <c r="AA74" s="15">
        <f ca="1">IF(Table25[[#This Row],[Start Date]]&gt;TODAY(),1,)</f>
        <v>0</v>
      </c>
    </row>
    <row r="75" spans="1:27" s="103" customFormat="1" ht="14.25" hidden="1" customHeight="1" x14ac:dyDescent="0.25">
      <c r="A75" s="61"/>
      <c r="B75" s="96" t="s">
        <v>43</v>
      </c>
      <c r="C75" s="97" t="s">
        <v>94</v>
      </c>
      <c r="D75" s="97">
        <v>3882</v>
      </c>
      <c r="E75" s="96" t="s">
        <v>198</v>
      </c>
      <c r="F75" s="99">
        <v>45596</v>
      </c>
      <c r="G75" s="99">
        <v>45597</v>
      </c>
      <c r="H75" s="102">
        <v>0.33333333333333331</v>
      </c>
      <c r="I75" s="102"/>
      <c r="J75" s="99"/>
      <c r="K75" s="99"/>
      <c r="L75" s="99"/>
      <c r="M75" s="99"/>
      <c r="N75" s="99"/>
      <c r="O75" s="96"/>
      <c r="P75" s="96"/>
      <c r="Q75" s="15">
        <v>25</v>
      </c>
      <c r="R75" s="15">
        <v>2</v>
      </c>
      <c r="S75" s="15"/>
      <c r="T75" s="100"/>
      <c r="U75" s="15"/>
      <c r="V75" s="15"/>
      <c r="W75" s="97"/>
      <c r="X75" s="96"/>
      <c r="Y75" s="69">
        <f ca="1">Table25[[#This Row],[End Date]]+2-TODAY()</f>
        <v>-178</v>
      </c>
      <c r="Z75" s="15">
        <f>IF(ISBLANK(Table25[[#This Row],[Roster Received By]]),1,0)</f>
        <v>1</v>
      </c>
      <c r="AA75" s="15">
        <f ca="1">IF(Table25[[#This Row],[Start Date]]&gt;TODAY(),1,)</f>
        <v>0</v>
      </c>
    </row>
    <row r="76" spans="1:27" s="103" customFormat="1" hidden="1" x14ac:dyDescent="0.25">
      <c r="A76" s="61"/>
      <c r="B76" s="96" t="s">
        <v>44</v>
      </c>
      <c r="C76" s="97" t="s">
        <v>95</v>
      </c>
      <c r="D76" s="97">
        <v>3888</v>
      </c>
      <c r="E76" s="96" t="s">
        <v>198</v>
      </c>
      <c r="F76" s="99">
        <v>45581</v>
      </c>
      <c r="G76" s="99">
        <v>45581</v>
      </c>
      <c r="H76" s="98">
        <v>0.5</v>
      </c>
      <c r="I76" s="102"/>
      <c r="J76" s="99"/>
      <c r="K76" s="99"/>
      <c r="L76" s="99"/>
      <c r="M76" s="99"/>
      <c r="N76" s="99"/>
      <c r="O76" s="96"/>
      <c r="P76" s="96"/>
      <c r="Q76" s="100">
        <v>30</v>
      </c>
      <c r="R76" s="101">
        <v>1</v>
      </c>
      <c r="S76" s="100"/>
      <c r="T76" s="100"/>
      <c r="U76" s="15"/>
      <c r="V76" s="15"/>
      <c r="W76" s="15"/>
      <c r="X76" s="96"/>
      <c r="Y76" s="69">
        <f ca="1">Table25[[#This Row],[End Date]]+2-TODAY()</f>
        <v>-194</v>
      </c>
      <c r="Z76" s="15">
        <f>IF(ISBLANK(Table25[[#This Row],[Roster Received By]]),1,0)</f>
        <v>1</v>
      </c>
      <c r="AA76" s="15">
        <f ca="1">IF(Table25[[#This Row],[Start Date]]&gt;TODAY(),1,)</f>
        <v>0</v>
      </c>
    </row>
    <row r="77" spans="1:27" s="103" customFormat="1" hidden="1" x14ac:dyDescent="0.25">
      <c r="A77" s="61"/>
      <c r="B77" s="96" t="s">
        <v>45</v>
      </c>
      <c r="C77" s="97" t="s">
        <v>96</v>
      </c>
      <c r="D77" s="97" t="s">
        <v>97</v>
      </c>
      <c r="E77" s="96" t="s">
        <v>198</v>
      </c>
      <c r="F77" s="99">
        <v>45586</v>
      </c>
      <c r="G77" s="99">
        <v>45590</v>
      </c>
      <c r="H77" s="102">
        <v>0.33333333333333331</v>
      </c>
      <c r="I77" s="98"/>
      <c r="J77" s="98"/>
      <c r="K77" s="98"/>
      <c r="L77" s="98"/>
      <c r="M77" s="98"/>
      <c r="N77" s="98"/>
      <c r="O77" s="96"/>
      <c r="P77" s="96"/>
      <c r="Q77" s="15">
        <v>25</v>
      </c>
      <c r="R77" s="15">
        <v>5</v>
      </c>
      <c r="S77" s="15"/>
      <c r="T77" s="100"/>
      <c r="U77" s="15"/>
      <c r="V77" s="15"/>
      <c r="W77" s="15"/>
      <c r="X77" s="96"/>
      <c r="Y77" s="69">
        <f ca="1">Table25[[#This Row],[End Date]]+2-TODAY()</f>
        <v>-185</v>
      </c>
      <c r="Z77" s="15">
        <f>IF(ISBLANK(Table25[[#This Row],[Roster Received By]]),1,0)</f>
        <v>1</v>
      </c>
      <c r="AA77" s="15">
        <f ca="1">IF(Table25[[#This Row],[Start Date]]&gt;TODAY(),1,)</f>
        <v>0</v>
      </c>
    </row>
    <row r="78" spans="1:27" s="103" customFormat="1" ht="14.25" hidden="1" customHeight="1" x14ac:dyDescent="0.25">
      <c r="A78" s="96"/>
      <c r="B78" s="96" t="s">
        <v>46</v>
      </c>
      <c r="C78" s="97" t="s">
        <v>98</v>
      </c>
      <c r="D78" s="97" t="s">
        <v>99</v>
      </c>
      <c r="E78" s="96" t="s">
        <v>198</v>
      </c>
      <c r="F78" s="99">
        <v>45580</v>
      </c>
      <c r="G78" s="99">
        <v>45580</v>
      </c>
      <c r="H78" s="102">
        <v>0.33333333333333331</v>
      </c>
      <c r="I78" s="102"/>
      <c r="J78" s="99"/>
      <c r="K78" s="99"/>
      <c r="L78" s="99"/>
      <c r="M78" s="99"/>
      <c r="N78" s="99"/>
      <c r="O78" s="96"/>
      <c r="P78" s="96"/>
      <c r="Q78" s="15">
        <v>30</v>
      </c>
      <c r="R78" s="15">
        <v>1</v>
      </c>
      <c r="S78" s="15"/>
      <c r="T78" s="100"/>
      <c r="U78" s="15"/>
      <c r="V78" s="15"/>
      <c r="W78" s="15"/>
      <c r="X78" s="96"/>
      <c r="Y78" s="69">
        <f ca="1">Table25[[#This Row],[End Date]]+2-TODAY()</f>
        <v>-195</v>
      </c>
      <c r="Z78" s="15">
        <f>IF(ISBLANK(Table25[[#This Row],[Roster Received By]]),1,0)</f>
        <v>1</v>
      </c>
      <c r="AA78" s="15">
        <f ca="1">IF(Table25[[#This Row],[Start Date]]&gt;TODAY(),1,)</f>
        <v>0</v>
      </c>
    </row>
    <row r="79" spans="1:27" s="103" customFormat="1" ht="14.25" hidden="1" customHeight="1" x14ac:dyDescent="0.25">
      <c r="A79" s="61"/>
      <c r="B79" s="96" t="s">
        <v>49</v>
      </c>
      <c r="C79" s="97" t="s">
        <v>133</v>
      </c>
      <c r="D79" s="97">
        <v>5891</v>
      </c>
      <c r="E79" s="96" t="s">
        <v>198</v>
      </c>
      <c r="F79" s="99">
        <v>45782</v>
      </c>
      <c r="G79" s="99">
        <v>45784</v>
      </c>
      <c r="H79" s="102">
        <v>0.33333333333333331</v>
      </c>
      <c r="I79" s="98"/>
      <c r="J79" s="98"/>
      <c r="K79" s="98"/>
      <c r="L79" s="98"/>
      <c r="M79" s="98"/>
      <c r="N79" s="98"/>
      <c r="O79" s="96"/>
      <c r="P79" s="96"/>
      <c r="Q79" s="15">
        <v>25</v>
      </c>
      <c r="R79" s="15">
        <v>3</v>
      </c>
      <c r="S79" s="15"/>
      <c r="T79" s="100"/>
      <c r="U79" s="15"/>
      <c r="V79" s="15"/>
      <c r="W79" s="15"/>
      <c r="X79" s="96"/>
      <c r="Y79" s="69">
        <f ca="1">Table25[[#This Row],[End Date]]+2-TODAY()</f>
        <v>9</v>
      </c>
      <c r="Z79" s="15">
        <f>IF(ISBLANK(Table25[[#This Row],[Roster Received By]]),1,0)</f>
        <v>1</v>
      </c>
      <c r="AA79" s="15">
        <f ca="1">IF(Table25[[#This Row],[Start Date]]&gt;TODAY(),1,)</f>
        <v>1</v>
      </c>
    </row>
    <row r="80" spans="1:27" s="103" customFormat="1" ht="14.25" hidden="1" customHeight="1" x14ac:dyDescent="0.25">
      <c r="A80" s="61"/>
      <c r="B80" s="96" t="s">
        <v>49</v>
      </c>
      <c r="C80" s="97" t="s">
        <v>133</v>
      </c>
      <c r="D80" s="97">
        <v>5891</v>
      </c>
      <c r="E80" s="96" t="s">
        <v>198</v>
      </c>
      <c r="F80" s="99">
        <v>45824</v>
      </c>
      <c r="G80" s="99">
        <v>45826</v>
      </c>
      <c r="H80" s="102">
        <v>0.33333333333333331</v>
      </c>
      <c r="I80" s="105"/>
      <c r="J80" s="99"/>
      <c r="K80" s="99"/>
      <c r="L80" s="99"/>
      <c r="M80" s="99"/>
      <c r="N80" s="99"/>
      <c r="O80" s="96"/>
      <c r="P80" s="96"/>
      <c r="Q80" s="15">
        <v>25</v>
      </c>
      <c r="R80" s="15">
        <v>3</v>
      </c>
      <c r="S80" s="15"/>
      <c r="T80" s="100"/>
      <c r="U80" s="15"/>
      <c r="V80" s="15"/>
      <c r="W80" s="15"/>
      <c r="X80" s="96"/>
      <c r="Y80" s="69">
        <f ca="1">Table25[[#This Row],[End Date]]+2-TODAY()</f>
        <v>51</v>
      </c>
      <c r="Z80" s="15">
        <f>IF(ISBLANK(Table25[[#This Row],[Roster Received By]]),1,0)</f>
        <v>1</v>
      </c>
      <c r="AA80" s="15">
        <f ca="1">IF(Table25[[#This Row],[Start Date]]&gt;TODAY(),1,)</f>
        <v>1</v>
      </c>
    </row>
    <row r="81" spans="1:27" s="103" customFormat="1" ht="14.25" hidden="1" customHeight="1" x14ac:dyDescent="0.25">
      <c r="A81" s="61"/>
      <c r="B81" s="96" t="s">
        <v>49</v>
      </c>
      <c r="C81" s="97" t="s">
        <v>133</v>
      </c>
      <c r="D81" s="97">
        <v>5891</v>
      </c>
      <c r="E81" s="96" t="s">
        <v>198</v>
      </c>
      <c r="F81" s="99">
        <v>45908</v>
      </c>
      <c r="G81" s="99" t="s">
        <v>449</v>
      </c>
      <c r="H81" s="102">
        <v>0.33333333333333331</v>
      </c>
      <c r="I81" s="102"/>
      <c r="J81" s="102"/>
      <c r="K81" s="102"/>
      <c r="L81" s="102"/>
      <c r="M81" s="102"/>
      <c r="N81" s="99"/>
      <c r="O81" s="96"/>
      <c r="P81" s="96"/>
      <c r="Q81" s="15">
        <v>25</v>
      </c>
      <c r="R81" s="15">
        <v>3</v>
      </c>
      <c r="S81" s="15"/>
      <c r="T81" s="100"/>
      <c r="U81" s="15"/>
      <c r="V81" s="15"/>
      <c r="W81" s="15"/>
      <c r="X81" s="96"/>
      <c r="Y81" s="69" t="e">
        <f ca="1">Table25[[#This Row],[End Date]]+2-TODAY()</f>
        <v>#VALUE!</v>
      </c>
      <c r="Z81" s="15">
        <f>IF(ISBLANK(Table25[[#This Row],[Roster Received By]]),1,0)</f>
        <v>1</v>
      </c>
      <c r="AA81" s="15">
        <f ca="1">IF(Table25[[#This Row],[Start Date]]&gt;TODAY(),1,)</f>
        <v>1</v>
      </c>
    </row>
    <row r="82" spans="1:27" s="136" customFormat="1" ht="14.25" customHeight="1" x14ac:dyDescent="0.25">
      <c r="A82" s="61"/>
      <c r="B82" s="96" t="s">
        <v>53</v>
      </c>
      <c r="C82" s="97" t="s">
        <v>148</v>
      </c>
      <c r="D82" s="97" t="s">
        <v>149</v>
      </c>
      <c r="E82" s="64" t="s">
        <v>198</v>
      </c>
      <c r="F82" s="99">
        <v>45565</v>
      </c>
      <c r="G82" s="99">
        <v>45569</v>
      </c>
      <c r="H82" s="105">
        <v>0.33333333333333331</v>
      </c>
      <c r="I82" s="105"/>
      <c r="J82" s="99"/>
      <c r="K82" s="99"/>
      <c r="L82" s="99"/>
      <c r="M82" s="99"/>
      <c r="N82" s="99"/>
      <c r="O82" s="96"/>
      <c r="P82" s="96"/>
      <c r="Q82" s="15">
        <v>30</v>
      </c>
      <c r="R82" s="15">
        <v>5</v>
      </c>
      <c r="S82" s="15"/>
      <c r="T82" s="100"/>
      <c r="U82" s="15"/>
      <c r="V82" s="15"/>
      <c r="W82" s="15"/>
      <c r="X82" s="96"/>
      <c r="Y82" s="69">
        <f ca="1">Table25[[#This Row],[End Date]]+2-TODAY()</f>
        <v>-206</v>
      </c>
      <c r="Z82" s="15">
        <f>IF(ISBLANK(Table25[[#This Row],[Roster Received By]]),1,0)</f>
        <v>1</v>
      </c>
      <c r="AA82" s="15">
        <f ca="1">IF(Table25[[#This Row],[Start Date]]&gt;TODAY(),1,)</f>
        <v>0</v>
      </c>
    </row>
    <row r="83" spans="1:27" s="103" customFormat="1" ht="14.25" customHeight="1" x14ac:dyDescent="0.25">
      <c r="A83" s="61"/>
      <c r="B83" s="134" t="s">
        <v>53</v>
      </c>
      <c r="C83" s="97" t="s">
        <v>148</v>
      </c>
      <c r="D83" s="97" t="s">
        <v>149</v>
      </c>
      <c r="E83" s="96" t="s">
        <v>198</v>
      </c>
      <c r="F83" s="99">
        <v>45593</v>
      </c>
      <c r="G83" s="99">
        <v>45597</v>
      </c>
      <c r="H83" s="102">
        <v>0.33333333333333331</v>
      </c>
      <c r="I83" s="98"/>
      <c r="J83" s="102"/>
      <c r="K83" s="102"/>
      <c r="L83" s="102"/>
      <c r="M83" s="102"/>
      <c r="N83" s="102"/>
      <c r="O83" s="96"/>
      <c r="P83" s="96"/>
      <c r="Q83" s="15">
        <v>30</v>
      </c>
      <c r="R83" s="15">
        <v>5</v>
      </c>
      <c r="S83" s="15"/>
      <c r="T83" s="100"/>
      <c r="U83" s="15"/>
      <c r="V83" s="15"/>
      <c r="W83" s="15"/>
      <c r="X83" s="96"/>
      <c r="Y83" s="69">
        <f ca="1">Table25[[#This Row],[End Date]]+2-TODAY()</f>
        <v>-178</v>
      </c>
      <c r="Z83" s="15">
        <f>IF(ISBLANK(Table25[[#This Row],[Roster Received By]]),1,0)</f>
        <v>1</v>
      </c>
      <c r="AA83" s="15">
        <f ca="1">IF(Table25[[#This Row],[Start Date]]&gt;TODAY(),1,)</f>
        <v>0</v>
      </c>
    </row>
    <row r="84" spans="1:27" s="103" customFormat="1" ht="14.25" customHeight="1" x14ac:dyDescent="0.25">
      <c r="A84" s="61"/>
      <c r="B84" s="96" t="s">
        <v>53</v>
      </c>
      <c r="C84" s="97" t="s">
        <v>148</v>
      </c>
      <c r="D84" s="97" t="s">
        <v>149</v>
      </c>
      <c r="E84" s="64" t="s">
        <v>198</v>
      </c>
      <c r="F84" s="99">
        <v>45614</v>
      </c>
      <c r="G84" s="99">
        <v>45618</v>
      </c>
      <c r="H84" s="102">
        <v>0.33333333333333331</v>
      </c>
      <c r="I84" s="102"/>
      <c r="J84" s="99"/>
      <c r="K84" s="99"/>
      <c r="L84" s="99"/>
      <c r="M84" s="99"/>
      <c r="N84" s="99"/>
      <c r="O84" s="96"/>
      <c r="P84" s="96"/>
      <c r="Q84" s="15">
        <v>30</v>
      </c>
      <c r="R84" s="15">
        <v>5</v>
      </c>
      <c r="S84" s="15"/>
      <c r="T84" s="100"/>
      <c r="U84" s="15"/>
      <c r="V84" s="15"/>
      <c r="W84" s="15"/>
      <c r="X84" s="96"/>
      <c r="Y84" s="69">
        <f ca="1">Table25[[#This Row],[End Date]]+2-TODAY()</f>
        <v>-157</v>
      </c>
      <c r="Z84" s="15">
        <f>IF(ISBLANK(Table25[[#This Row],[Roster Received By]]),1,0)</f>
        <v>1</v>
      </c>
      <c r="AA84" s="15">
        <f ca="1">IF(Table25[[#This Row],[Start Date]]&gt;TODAY(),1,)</f>
        <v>0</v>
      </c>
    </row>
    <row r="85" spans="1:27" s="103" customFormat="1" ht="14.25" customHeight="1" x14ac:dyDescent="0.25">
      <c r="A85" s="64"/>
      <c r="B85" s="96" t="s">
        <v>53</v>
      </c>
      <c r="C85" s="97" t="s">
        <v>148</v>
      </c>
      <c r="D85" s="97" t="s">
        <v>149</v>
      </c>
      <c r="E85" s="96" t="s">
        <v>198</v>
      </c>
      <c r="F85" s="99">
        <v>45754</v>
      </c>
      <c r="G85" s="99">
        <v>45758</v>
      </c>
      <c r="H85" s="102">
        <v>0.33333333333333331</v>
      </c>
      <c r="I85" s="102"/>
      <c r="J85" s="102"/>
      <c r="K85" s="102"/>
      <c r="L85" s="102"/>
      <c r="M85" s="102"/>
      <c r="N85" s="102"/>
      <c r="O85" s="96"/>
      <c r="P85" s="96"/>
      <c r="Q85" s="15">
        <v>30</v>
      </c>
      <c r="R85" s="15">
        <v>5</v>
      </c>
      <c r="S85" s="100"/>
      <c r="T85" s="100"/>
      <c r="U85" s="15"/>
      <c r="V85" s="15"/>
      <c r="W85" s="97"/>
      <c r="X85" s="96"/>
      <c r="Y85" s="69">
        <f ca="1">Table25[[#This Row],[End Date]]+2-TODAY()</f>
        <v>-17</v>
      </c>
      <c r="Z85" s="15">
        <f>IF(ISBLANK(Table25[[#This Row],[Roster Received By]]),1,0)</f>
        <v>1</v>
      </c>
      <c r="AA85" s="15">
        <f ca="1">IF(Table25[[#This Row],[Start Date]]&gt;TODAY(),1,)</f>
        <v>0</v>
      </c>
    </row>
    <row r="86" spans="1:27" s="103" customFormat="1" ht="14.25" customHeight="1" x14ac:dyDescent="0.25">
      <c r="A86" s="96"/>
      <c r="B86" s="96" t="s">
        <v>53</v>
      </c>
      <c r="C86" s="97" t="s">
        <v>148</v>
      </c>
      <c r="D86" s="97" t="s">
        <v>149</v>
      </c>
      <c r="E86" s="96" t="s">
        <v>198</v>
      </c>
      <c r="F86" s="99">
        <v>45775</v>
      </c>
      <c r="G86" s="99">
        <v>45779</v>
      </c>
      <c r="H86" s="102">
        <v>0.33333333333333331</v>
      </c>
      <c r="I86" s="98"/>
      <c r="J86" s="102"/>
      <c r="K86" s="102"/>
      <c r="L86" s="102"/>
      <c r="M86" s="102"/>
      <c r="N86" s="102"/>
      <c r="O86" s="96"/>
      <c r="P86" s="96"/>
      <c r="Q86" s="15">
        <v>30</v>
      </c>
      <c r="R86" s="15">
        <v>5</v>
      </c>
      <c r="S86" s="100"/>
      <c r="T86" s="100"/>
      <c r="U86" s="15"/>
      <c r="V86" s="15"/>
      <c r="W86" s="100"/>
      <c r="X86" s="96"/>
      <c r="Y86" s="69">
        <f ca="1">Table25[[#This Row],[End Date]]+2-TODAY()</f>
        <v>4</v>
      </c>
      <c r="Z86" s="15">
        <f>IF(ISBLANK(Table25[[#This Row],[Roster Received By]]),1,0)</f>
        <v>1</v>
      </c>
      <c r="AA86" s="15">
        <f ca="1">IF(Table25[[#This Row],[Start Date]]&gt;TODAY(),1,)</f>
        <v>0</v>
      </c>
    </row>
    <row r="87" spans="1:27" s="132" customFormat="1" ht="14.25" customHeight="1" x14ac:dyDescent="0.25">
      <c r="A87" s="61"/>
      <c r="B87" s="96" t="s">
        <v>53</v>
      </c>
      <c r="C87" s="97" t="s">
        <v>148</v>
      </c>
      <c r="D87" s="97" t="s">
        <v>149</v>
      </c>
      <c r="E87" s="96" t="s">
        <v>198</v>
      </c>
      <c r="F87" s="66">
        <v>45873</v>
      </c>
      <c r="G87" s="66">
        <v>45877</v>
      </c>
      <c r="H87" s="102">
        <v>0.33333333333333331</v>
      </c>
      <c r="I87" s="98"/>
      <c r="J87" s="98"/>
      <c r="K87" s="98"/>
      <c r="L87" s="98"/>
      <c r="M87" s="98"/>
      <c r="N87" s="98"/>
      <c r="O87" s="96"/>
      <c r="P87" s="96"/>
      <c r="Q87" s="15">
        <v>30</v>
      </c>
      <c r="R87" s="15">
        <v>5</v>
      </c>
      <c r="S87" s="15"/>
      <c r="T87" s="100"/>
      <c r="U87" s="15"/>
      <c r="V87" s="15"/>
      <c r="W87" s="15"/>
      <c r="X87" s="96"/>
      <c r="Y87" s="69">
        <f ca="1">Table25[[#This Row],[End Date]]+2-TODAY()</f>
        <v>102</v>
      </c>
      <c r="Z87" s="15">
        <f>IF(ISBLANK(Table25[[#This Row],[Roster Received By]]),1,0)</f>
        <v>1</v>
      </c>
      <c r="AA87" s="15">
        <f ca="1">IF(Table25[[#This Row],[Start Date]]&gt;TODAY(),1,)</f>
        <v>1</v>
      </c>
    </row>
    <row r="88" spans="1:27" s="103" customFormat="1" ht="14.25" hidden="1" customHeight="1" x14ac:dyDescent="0.25">
      <c r="A88" s="61"/>
      <c r="B88" s="96" t="s">
        <v>41</v>
      </c>
      <c r="C88" s="97" t="s">
        <v>91</v>
      </c>
      <c r="D88" s="97">
        <v>3878</v>
      </c>
      <c r="E88" s="64" t="s">
        <v>205</v>
      </c>
      <c r="F88" s="99">
        <v>45852</v>
      </c>
      <c r="G88" s="99">
        <v>45854</v>
      </c>
      <c r="H88" s="102">
        <v>0.33333333333333331</v>
      </c>
      <c r="I88" s="102"/>
      <c r="J88" s="99"/>
      <c r="K88" s="99"/>
      <c r="L88" s="99"/>
      <c r="M88" s="99"/>
      <c r="N88" s="99"/>
      <c r="O88" s="96"/>
      <c r="P88" s="96"/>
      <c r="Q88" s="100">
        <v>25</v>
      </c>
      <c r="R88" s="101">
        <v>3</v>
      </c>
      <c r="S88" s="100"/>
      <c r="T88" s="100"/>
      <c r="U88" s="15"/>
      <c r="V88" s="15"/>
      <c r="W88" s="97"/>
      <c r="X88" s="96"/>
      <c r="Y88" s="69">
        <f ca="1">Table25[[#This Row],[End Date]]+2-TODAY()</f>
        <v>79</v>
      </c>
      <c r="Z88" s="15">
        <f>IF(ISBLANK(Table25[[#This Row],[Roster Received By]]),1,0)</f>
        <v>1</v>
      </c>
      <c r="AA88" s="15">
        <f ca="1">IF(Table25[[#This Row],[Start Date]]&gt;TODAY(),1,)</f>
        <v>1</v>
      </c>
    </row>
    <row r="89" spans="1:27" s="103" customFormat="1" ht="14.25" hidden="1" customHeight="1" x14ac:dyDescent="0.25">
      <c r="A89" s="61"/>
      <c r="B89" s="96" t="s">
        <v>42</v>
      </c>
      <c r="C89" s="97" t="s">
        <v>92</v>
      </c>
      <c r="D89" s="97">
        <v>3879</v>
      </c>
      <c r="E89" s="96" t="s">
        <v>205</v>
      </c>
      <c r="F89" s="99">
        <v>45860</v>
      </c>
      <c r="G89" s="99">
        <v>45860</v>
      </c>
      <c r="H89" s="102">
        <v>0.33333333333333331</v>
      </c>
      <c r="I89" s="102"/>
      <c r="J89" s="99"/>
      <c r="K89" s="99"/>
      <c r="L89" s="99"/>
      <c r="M89" s="99"/>
      <c r="N89" s="99"/>
      <c r="O89" s="96"/>
      <c r="P89" s="96"/>
      <c r="Q89" s="100">
        <v>30</v>
      </c>
      <c r="R89" s="101">
        <v>1</v>
      </c>
      <c r="S89" s="100"/>
      <c r="T89" s="100"/>
      <c r="U89" s="15"/>
      <c r="V89" s="15"/>
      <c r="W89" s="97"/>
      <c r="X89" s="96"/>
      <c r="Y89" s="69">
        <f ca="1">Table25[[#This Row],[End Date]]+2-TODAY()</f>
        <v>85</v>
      </c>
      <c r="Z89" s="15">
        <f>IF(ISBLANK(Table25[[#This Row],[Roster Received By]]),1,0)</f>
        <v>1</v>
      </c>
      <c r="AA89" s="15">
        <f ca="1">IF(Table25[[#This Row],[Start Date]]&gt;TODAY(),1,)</f>
        <v>1</v>
      </c>
    </row>
    <row r="90" spans="1:27" s="103" customFormat="1" ht="14.25" hidden="1" customHeight="1" x14ac:dyDescent="0.25">
      <c r="A90" s="61"/>
      <c r="B90" s="96" t="s">
        <v>43</v>
      </c>
      <c r="C90" s="97" t="s">
        <v>94</v>
      </c>
      <c r="D90" s="97">
        <v>3882</v>
      </c>
      <c r="E90" s="96" t="s">
        <v>205</v>
      </c>
      <c r="F90" s="99">
        <v>45855</v>
      </c>
      <c r="G90" s="99">
        <v>45856</v>
      </c>
      <c r="H90" s="102">
        <v>0.33333333333333331</v>
      </c>
      <c r="I90" s="102"/>
      <c r="J90" s="99"/>
      <c r="K90" s="99"/>
      <c r="L90" s="99"/>
      <c r="M90" s="99"/>
      <c r="N90" s="99"/>
      <c r="O90" s="96"/>
      <c r="P90" s="96"/>
      <c r="Q90" s="100">
        <v>25</v>
      </c>
      <c r="R90" s="101">
        <v>2</v>
      </c>
      <c r="S90" s="100"/>
      <c r="T90" s="100"/>
      <c r="U90" s="15"/>
      <c r="V90" s="15"/>
      <c r="W90" s="97"/>
      <c r="X90" s="96"/>
      <c r="Y90" s="69">
        <f ca="1">Table25[[#This Row],[End Date]]+2-TODAY()</f>
        <v>81</v>
      </c>
      <c r="Z90" s="15">
        <f>IF(ISBLANK(Table25[[#This Row],[Roster Received By]]),1,0)</f>
        <v>1</v>
      </c>
      <c r="AA90" s="15">
        <f ca="1">IF(Table25[[#This Row],[Start Date]]&gt;TODAY(),1,)</f>
        <v>1</v>
      </c>
    </row>
    <row r="91" spans="1:27" s="103" customFormat="1" ht="14.25" hidden="1" customHeight="1" x14ac:dyDescent="0.25">
      <c r="A91" s="61"/>
      <c r="B91" s="96" t="s">
        <v>44</v>
      </c>
      <c r="C91" s="97" t="s">
        <v>95</v>
      </c>
      <c r="D91" s="97">
        <v>3888</v>
      </c>
      <c r="E91" s="96" t="s">
        <v>205</v>
      </c>
      <c r="F91" s="99">
        <v>45860</v>
      </c>
      <c r="G91" s="99">
        <v>45860</v>
      </c>
      <c r="H91" s="98">
        <v>0.5</v>
      </c>
      <c r="I91" s="102"/>
      <c r="J91" s="99"/>
      <c r="K91" s="99"/>
      <c r="L91" s="99"/>
      <c r="M91" s="99"/>
      <c r="N91" s="99"/>
      <c r="O91" s="96"/>
      <c r="P91" s="96"/>
      <c r="Q91" s="100">
        <v>30</v>
      </c>
      <c r="R91" s="101">
        <v>1</v>
      </c>
      <c r="S91" s="100"/>
      <c r="T91" s="100"/>
      <c r="U91" s="15"/>
      <c r="V91" s="15"/>
      <c r="W91" s="97"/>
      <c r="X91" s="96"/>
      <c r="Y91" s="69">
        <f ca="1">Table25[[#This Row],[End Date]]+2-TODAY()</f>
        <v>85</v>
      </c>
      <c r="Z91" s="15">
        <f>IF(ISBLANK(Table25[[#This Row],[Roster Received By]]),1,0)</f>
        <v>1</v>
      </c>
      <c r="AA91" s="15">
        <f ca="1">IF(Table25[[#This Row],[Start Date]]&gt;TODAY(),1,)</f>
        <v>1</v>
      </c>
    </row>
    <row r="92" spans="1:27" s="103" customFormat="1" ht="14.25" hidden="1" customHeight="1" x14ac:dyDescent="0.25">
      <c r="A92" s="61"/>
      <c r="B92" s="96" t="s">
        <v>45</v>
      </c>
      <c r="C92" s="97" t="s">
        <v>96</v>
      </c>
      <c r="D92" s="97" t="s">
        <v>97</v>
      </c>
      <c r="E92" s="96" t="s">
        <v>205</v>
      </c>
      <c r="F92" s="99">
        <v>45845</v>
      </c>
      <c r="G92" s="99">
        <v>45849</v>
      </c>
      <c r="H92" s="102">
        <v>0.33333333333333331</v>
      </c>
      <c r="I92" s="102"/>
      <c r="J92" s="99"/>
      <c r="K92" s="99"/>
      <c r="L92" s="99"/>
      <c r="M92" s="99"/>
      <c r="N92" s="99"/>
      <c r="O92" s="96"/>
      <c r="P92" s="96"/>
      <c r="Q92" s="100">
        <v>25</v>
      </c>
      <c r="R92" s="101">
        <v>5</v>
      </c>
      <c r="S92" s="100"/>
      <c r="T92" s="100"/>
      <c r="U92" s="15"/>
      <c r="V92" s="15"/>
      <c r="W92" s="97"/>
      <c r="X92" s="96"/>
      <c r="Y92" s="69">
        <f ca="1">Table25[[#This Row],[End Date]]+2-TODAY()</f>
        <v>74</v>
      </c>
      <c r="Z92" s="15">
        <f>IF(ISBLANK(Table25[[#This Row],[Roster Received By]]),1,0)</f>
        <v>1</v>
      </c>
      <c r="AA92" s="15">
        <f ca="1">IF(Table25[[#This Row],[Start Date]]&gt;TODAY(),1,)</f>
        <v>1</v>
      </c>
    </row>
    <row r="93" spans="1:27" s="103" customFormat="1" ht="14.25" hidden="1" customHeight="1" x14ac:dyDescent="0.25">
      <c r="A93" s="61"/>
      <c r="B93" s="96" t="s">
        <v>46</v>
      </c>
      <c r="C93" s="97" t="s">
        <v>98</v>
      </c>
      <c r="D93" s="97" t="s">
        <v>99</v>
      </c>
      <c r="E93" s="96" t="s">
        <v>205</v>
      </c>
      <c r="F93" s="99">
        <v>45859</v>
      </c>
      <c r="G93" s="99">
        <v>45859</v>
      </c>
      <c r="H93" s="102">
        <v>0.33333333333333331</v>
      </c>
      <c r="I93" s="102"/>
      <c r="J93" s="99"/>
      <c r="K93" s="99"/>
      <c r="L93" s="99"/>
      <c r="M93" s="99"/>
      <c r="N93" s="99"/>
      <c r="O93" s="96"/>
      <c r="P93" s="96"/>
      <c r="Q93" s="100">
        <v>30</v>
      </c>
      <c r="R93" s="101">
        <v>1</v>
      </c>
      <c r="S93" s="100"/>
      <c r="T93" s="100"/>
      <c r="U93" s="15"/>
      <c r="V93" s="15"/>
      <c r="W93" s="97"/>
      <c r="X93" s="96"/>
      <c r="Y93" s="69">
        <f ca="1">Table25[[#This Row],[End Date]]+2-TODAY()</f>
        <v>84</v>
      </c>
      <c r="Z93" s="15">
        <f>IF(ISBLANK(Table25[[#This Row],[Roster Received By]]),1,0)</f>
        <v>1</v>
      </c>
      <c r="AA93" s="15">
        <f ca="1">IF(Table25[[#This Row],[Start Date]]&gt;TODAY(),1,)</f>
        <v>1</v>
      </c>
    </row>
    <row r="94" spans="1:27" s="103" customFormat="1" ht="14.25" hidden="1" customHeight="1" x14ac:dyDescent="0.25">
      <c r="A94" s="61"/>
      <c r="B94" s="96" t="s">
        <v>49</v>
      </c>
      <c r="C94" s="97" t="s">
        <v>133</v>
      </c>
      <c r="D94" s="97">
        <v>5891</v>
      </c>
      <c r="E94" s="96" t="s">
        <v>205</v>
      </c>
      <c r="F94" s="99">
        <v>45861</v>
      </c>
      <c r="G94" s="99">
        <v>45863</v>
      </c>
      <c r="H94" s="102">
        <v>0.33333333333333331</v>
      </c>
      <c r="I94" s="102"/>
      <c r="J94" s="99"/>
      <c r="K94" s="99"/>
      <c r="L94" s="99"/>
      <c r="M94" s="99"/>
      <c r="N94" s="99"/>
      <c r="O94" s="96"/>
      <c r="P94" s="96"/>
      <c r="Q94" s="15">
        <v>25</v>
      </c>
      <c r="R94" s="15">
        <v>3</v>
      </c>
      <c r="S94" s="15"/>
      <c r="T94" s="100"/>
      <c r="U94" s="15"/>
      <c r="V94" s="15"/>
      <c r="W94" s="15"/>
      <c r="X94" s="96"/>
      <c r="Y94" s="69">
        <f ca="1">Table25[[#This Row],[End Date]]+2-TODAY()</f>
        <v>88</v>
      </c>
      <c r="Z94" s="15">
        <f>IF(ISBLANK(Table25[[#This Row],[Roster Received By]]),1,0)</f>
        <v>1</v>
      </c>
      <c r="AA94" s="15">
        <f ca="1">IF(Table25[[#This Row],[Start Date]]&gt;TODAY(),1,)</f>
        <v>1</v>
      </c>
    </row>
    <row r="95" spans="1:27" s="103" customFormat="1" ht="14.25" customHeight="1" x14ac:dyDescent="0.25">
      <c r="A95" s="61"/>
      <c r="B95" s="96" t="s">
        <v>53</v>
      </c>
      <c r="C95" s="97" t="s">
        <v>148</v>
      </c>
      <c r="D95" s="97" t="s">
        <v>149</v>
      </c>
      <c r="E95" s="96" t="s">
        <v>205</v>
      </c>
      <c r="F95" s="99">
        <v>45663</v>
      </c>
      <c r="G95" s="99">
        <v>45667</v>
      </c>
      <c r="H95" s="102">
        <v>0.33333333333333331</v>
      </c>
      <c r="I95" s="98"/>
      <c r="J95" s="102"/>
      <c r="K95" s="102"/>
      <c r="L95" s="102"/>
      <c r="M95" s="102"/>
      <c r="N95" s="102"/>
      <c r="O95" s="96"/>
      <c r="P95" s="96"/>
      <c r="Q95" s="15">
        <v>30</v>
      </c>
      <c r="R95" s="15">
        <v>5</v>
      </c>
      <c r="S95" s="15"/>
      <c r="T95" s="100"/>
      <c r="U95" s="15"/>
      <c r="V95" s="15"/>
      <c r="W95" s="15"/>
      <c r="X95" s="96"/>
      <c r="Y95" s="69">
        <f ca="1">Table25[[#This Row],[End Date]]+2-TODAY()</f>
        <v>-108</v>
      </c>
      <c r="Z95" s="15">
        <f>IF(ISBLANK(Table25[[#This Row],[Roster Received By]]),1,0)</f>
        <v>1</v>
      </c>
      <c r="AA95" s="15">
        <f ca="1">IF(Table25[[#This Row],[Start Date]]&gt;TODAY(),1,)</f>
        <v>0</v>
      </c>
    </row>
    <row r="96" spans="1:27" s="103" customFormat="1" ht="14.25" customHeight="1" x14ac:dyDescent="0.25">
      <c r="A96" s="61"/>
      <c r="B96" s="96" t="s">
        <v>53</v>
      </c>
      <c r="C96" s="97" t="s">
        <v>148</v>
      </c>
      <c r="D96" s="97" t="s">
        <v>149</v>
      </c>
      <c r="E96" s="96" t="s">
        <v>205</v>
      </c>
      <c r="F96" s="99">
        <v>45915</v>
      </c>
      <c r="G96" s="99">
        <v>45919</v>
      </c>
      <c r="H96" s="102">
        <v>0.33333333333333331</v>
      </c>
      <c r="I96" s="102"/>
      <c r="J96" s="102"/>
      <c r="K96" s="102"/>
      <c r="L96" s="102"/>
      <c r="M96" s="102"/>
      <c r="N96" s="102"/>
      <c r="O96" s="96"/>
      <c r="P96" s="96"/>
      <c r="Q96" s="15">
        <v>30</v>
      </c>
      <c r="R96" s="15">
        <v>5</v>
      </c>
      <c r="S96" s="100"/>
      <c r="T96" s="100"/>
      <c r="U96" s="15"/>
      <c r="V96" s="15"/>
      <c r="W96" s="15"/>
      <c r="X96" s="96"/>
      <c r="Y96" s="69">
        <f ca="1">Table25[[#This Row],[End Date]]+2-TODAY()</f>
        <v>144</v>
      </c>
      <c r="Z96" s="15">
        <f>IF(ISBLANK(Table25[[#This Row],[Roster Received By]]),1,0)</f>
        <v>1</v>
      </c>
      <c r="AA96" s="15">
        <f ca="1">IF(Table25[[#This Row],[Start Date]]&gt;TODAY(),1,)</f>
        <v>1</v>
      </c>
    </row>
    <row r="97" spans="1:27" s="103" customFormat="1" ht="14.25" hidden="1" customHeight="1" x14ac:dyDescent="0.25">
      <c r="A97" s="61"/>
      <c r="B97" s="64" t="s">
        <v>49</v>
      </c>
      <c r="C97" s="97" t="s">
        <v>133</v>
      </c>
      <c r="D97" s="97">
        <v>5891</v>
      </c>
      <c r="E97" s="64" t="s">
        <v>212</v>
      </c>
      <c r="F97" s="66">
        <v>45728</v>
      </c>
      <c r="G97" s="66">
        <v>45730</v>
      </c>
      <c r="H97" s="102">
        <v>0.33333333333333331</v>
      </c>
      <c r="I97" s="98"/>
      <c r="J97" s="99"/>
      <c r="K97" s="99"/>
      <c r="L97" s="99"/>
      <c r="M97" s="99"/>
      <c r="N97" s="99"/>
      <c r="O97" s="96"/>
      <c r="P97" s="96"/>
      <c r="Q97" s="15">
        <v>25</v>
      </c>
      <c r="R97" s="15">
        <v>3</v>
      </c>
      <c r="S97" s="15"/>
      <c r="T97" s="100"/>
      <c r="U97" s="15"/>
      <c r="V97" s="15"/>
      <c r="W97" s="15"/>
      <c r="X97" s="96"/>
      <c r="Y97" s="69">
        <f ca="1">Table25[[#This Row],[End Date]]+2-TODAY()</f>
        <v>-45</v>
      </c>
      <c r="Z97" s="15">
        <f>IF(ISBLANK(Table25[[#This Row],[Roster Received By]]),1,0)</f>
        <v>1</v>
      </c>
      <c r="AA97" s="15">
        <f ca="1">IF(Table25[[#This Row],[Start Date]]&gt;TODAY(),1,)</f>
        <v>0</v>
      </c>
    </row>
    <row r="98" spans="1:27" s="103" customFormat="1" ht="14.25" customHeight="1" x14ac:dyDescent="0.25">
      <c r="A98" s="61"/>
      <c r="B98" s="96" t="s">
        <v>53</v>
      </c>
      <c r="C98" s="97" t="s">
        <v>148</v>
      </c>
      <c r="D98" s="97" t="s">
        <v>149</v>
      </c>
      <c r="E98" s="96" t="s">
        <v>212</v>
      </c>
      <c r="F98" s="99">
        <v>45691</v>
      </c>
      <c r="G98" s="99">
        <v>45695</v>
      </c>
      <c r="H98" s="102">
        <v>0.33333333333333331</v>
      </c>
      <c r="I98" s="98"/>
      <c r="J98" s="102"/>
      <c r="K98" s="102"/>
      <c r="L98" s="102"/>
      <c r="M98" s="102"/>
      <c r="N98" s="102"/>
      <c r="O98" s="96"/>
      <c r="P98" s="96"/>
      <c r="Q98" s="15">
        <v>30</v>
      </c>
      <c r="R98" s="15">
        <v>5</v>
      </c>
      <c r="S98" s="15"/>
      <c r="T98" s="100"/>
      <c r="U98" s="15"/>
      <c r="V98" s="15"/>
      <c r="W98" s="15"/>
      <c r="X98" s="96"/>
      <c r="Y98" s="69">
        <f ca="1">Table25[[#This Row],[End Date]]+2-TODAY()</f>
        <v>-80</v>
      </c>
      <c r="Z98" s="15">
        <f>IF(ISBLANK(Table25[[#This Row],[Roster Received By]]),1,0)</f>
        <v>1</v>
      </c>
      <c r="AA98" s="15">
        <f ca="1">IF(Table25[[#This Row],[Start Date]]&gt;TODAY(),1,)</f>
        <v>0</v>
      </c>
    </row>
    <row r="99" spans="1:27" s="103" customFormat="1" ht="14.25" customHeight="1" x14ac:dyDescent="0.25">
      <c r="A99" s="61"/>
      <c r="B99" s="96" t="s">
        <v>53</v>
      </c>
      <c r="C99" s="97" t="s">
        <v>148</v>
      </c>
      <c r="D99" s="97" t="s">
        <v>149</v>
      </c>
      <c r="E99" s="96" t="s">
        <v>212</v>
      </c>
      <c r="F99" s="66">
        <v>45733</v>
      </c>
      <c r="G99" s="99">
        <v>45737</v>
      </c>
      <c r="H99" s="102">
        <v>0.33333333333333331</v>
      </c>
      <c r="I99" s="98"/>
      <c r="J99" s="98"/>
      <c r="K99" s="98"/>
      <c r="L99" s="98"/>
      <c r="M99" s="98"/>
      <c r="N99" s="98"/>
      <c r="O99" s="96"/>
      <c r="P99" s="96"/>
      <c r="Q99" s="15">
        <v>30</v>
      </c>
      <c r="R99" s="15">
        <v>5</v>
      </c>
      <c r="S99" s="15"/>
      <c r="T99" s="100"/>
      <c r="U99" s="15"/>
      <c r="V99" s="15"/>
      <c r="W99" s="15"/>
      <c r="X99" s="96"/>
      <c r="Y99" s="69">
        <f ca="1">Table25[[#This Row],[End Date]]+2-TODAY()</f>
        <v>-38</v>
      </c>
      <c r="Z99" s="15">
        <f>IF(ISBLANK(Table25[[#This Row],[Roster Received By]]),1,0)</f>
        <v>1</v>
      </c>
      <c r="AA99" s="15">
        <f ca="1">IF(Table25[[#This Row],[Start Date]]&gt;TODAY(),1,)</f>
        <v>0</v>
      </c>
    </row>
    <row r="100" spans="1:27" s="103" customFormat="1" ht="14.25" customHeight="1" x14ac:dyDescent="0.25">
      <c r="A100" s="61"/>
      <c r="B100" s="96" t="s">
        <v>53</v>
      </c>
      <c r="C100" s="97" t="s">
        <v>148</v>
      </c>
      <c r="D100" s="97" t="s">
        <v>149</v>
      </c>
      <c r="E100" s="96" t="s">
        <v>212</v>
      </c>
      <c r="F100" s="99">
        <v>45908</v>
      </c>
      <c r="G100" s="99">
        <v>45912</v>
      </c>
      <c r="H100" s="102">
        <v>0.33333333333333331</v>
      </c>
      <c r="I100" s="102"/>
      <c r="J100" s="102"/>
      <c r="K100" s="102"/>
      <c r="L100" s="102"/>
      <c r="M100" s="102"/>
      <c r="N100" s="102"/>
      <c r="O100" s="96"/>
      <c r="P100" s="96"/>
      <c r="Q100" s="15">
        <v>30</v>
      </c>
      <c r="R100" s="15">
        <v>5</v>
      </c>
      <c r="S100" s="15"/>
      <c r="T100" s="100"/>
      <c r="U100" s="15"/>
      <c r="V100" s="15"/>
      <c r="W100" s="15"/>
      <c r="X100" s="96"/>
      <c r="Y100" s="69">
        <f ca="1">Table25[[#This Row],[End Date]]+2-TODAY()</f>
        <v>137</v>
      </c>
      <c r="Z100" s="15">
        <f>IF(ISBLANK(Table25[[#This Row],[Roster Received By]]),1,0)</f>
        <v>1</v>
      </c>
      <c r="AA100" s="15">
        <f ca="1">IF(Table25[[#This Row],[Start Date]]&gt;TODAY(),1,)</f>
        <v>1</v>
      </c>
    </row>
    <row r="101" spans="1:27" s="103" customFormat="1" ht="14.25" hidden="1" customHeight="1" x14ac:dyDescent="0.25">
      <c r="A101" s="61"/>
      <c r="B101" s="96" t="s">
        <v>49</v>
      </c>
      <c r="C101" s="97" t="s">
        <v>133</v>
      </c>
      <c r="D101" s="97">
        <v>5891</v>
      </c>
      <c r="E101" s="96" t="s">
        <v>218</v>
      </c>
      <c r="F101" s="99">
        <v>45917</v>
      </c>
      <c r="G101" s="99">
        <v>45919</v>
      </c>
      <c r="H101" s="102">
        <v>0.33333333333333331</v>
      </c>
      <c r="I101" s="102"/>
      <c r="J101" s="102"/>
      <c r="K101" s="102"/>
      <c r="L101" s="102"/>
      <c r="M101" s="102"/>
      <c r="N101" s="99"/>
      <c r="O101" s="96"/>
      <c r="P101" s="96"/>
      <c r="Q101" s="15">
        <v>25</v>
      </c>
      <c r="R101" s="15">
        <v>3</v>
      </c>
      <c r="S101" s="15"/>
      <c r="T101" s="100"/>
      <c r="U101" s="15"/>
      <c r="V101" s="15"/>
      <c r="W101" s="15"/>
      <c r="X101" s="96"/>
      <c r="Y101" s="69">
        <f ca="1">Table25[[#This Row],[End Date]]+2-TODAY()</f>
        <v>144</v>
      </c>
      <c r="Z101" s="15">
        <f>IF(ISBLANK(Table25[[#This Row],[Roster Received By]]),1,0)</f>
        <v>1</v>
      </c>
      <c r="AA101" s="15">
        <f ca="1">IF(Table25[[#This Row],[Start Date]]&gt;TODAY(),1,)</f>
        <v>1</v>
      </c>
    </row>
    <row r="102" spans="1:27" s="103" customFormat="1" ht="14.25" customHeight="1" x14ac:dyDescent="0.25">
      <c r="A102" s="61"/>
      <c r="B102" s="96" t="s">
        <v>53</v>
      </c>
      <c r="C102" s="97" t="s">
        <v>148</v>
      </c>
      <c r="D102" s="97" t="s">
        <v>149</v>
      </c>
      <c r="E102" s="96" t="s">
        <v>218</v>
      </c>
      <c r="F102" s="99">
        <v>45922</v>
      </c>
      <c r="G102" s="99">
        <v>45926</v>
      </c>
      <c r="H102" s="102">
        <v>0.33333333333333331</v>
      </c>
      <c r="I102" s="102"/>
      <c r="J102" s="99"/>
      <c r="K102" s="99"/>
      <c r="L102" s="99"/>
      <c r="M102" s="99"/>
      <c r="N102" s="99"/>
      <c r="O102" s="96"/>
      <c r="P102" s="96"/>
      <c r="Q102" s="15">
        <v>30</v>
      </c>
      <c r="R102" s="15">
        <v>5</v>
      </c>
      <c r="S102" s="15"/>
      <c r="T102" s="100"/>
      <c r="U102" s="15"/>
      <c r="V102" s="15"/>
      <c r="W102" s="15"/>
      <c r="X102" s="96"/>
      <c r="Y102" s="69">
        <f ca="1">Table25[[#This Row],[End Date]]+2-TODAY()</f>
        <v>151</v>
      </c>
      <c r="Z102" s="15">
        <f>IF(ISBLANK(Table25[[#This Row],[Roster Received By]]),1,0)</f>
        <v>1</v>
      </c>
      <c r="AA102" s="15">
        <f ca="1">IF(Table25[[#This Row],[Start Date]]&gt;TODAY(),1,)</f>
        <v>1</v>
      </c>
    </row>
    <row r="103" spans="1:27" s="103" customFormat="1" ht="14.25" customHeight="1" x14ac:dyDescent="0.25">
      <c r="A103" s="61"/>
      <c r="B103" s="96" t="s">
        <v>53</v>
      </c>
      <c r="C103" s="97" t="s">
        <v>148</v>
      </c>
      <c r="D103" s="97" t="s">
        <v>149</v>
      </c>
      <c r="E103" s="96" t="s">
        <v>379</v>
      </c>
      <c r="F103" s="66">
        <v>45866</v>
      </c>
      <c r="G103" s="66">
        <v>45870</v>
      </c>
      <c r="H103" s="102">
        <v>0.33333333333333331</v>
      </c>
      <c r="I103" s="98"/>
      <c r="J103" s="98"/>
      <c r="K103" s="98"/>
      <c r="L103" s="98"/>
      <c r="M103" s="98"/>
      <c r="N103" s="98"/>
      <c r="O103" s="96"/>
      <c r="P103" s="96"/>
      <c r="Q103" s="15">
        <v>30</v>
      </c>
      <c r="R103" s="15">
        <v>5</v>
      </c>
      <c r="S103" s="15"/>
      <c r="T103" s="100"/>
      <c r="U103" s="15"/>
      <c r="V103" s="15"/>
      <c r="W103" s="97"/>
      <c r="X103" s="96"/>
      <c r="Y103" s="69">
        <f ca="1">Table25[[#This Row],[End Date]]+2-TODAY()</f>
        <v>95</v>
      </c>
      <c r="Z103" s="15">
        <f>IF(ISBLANK(Table25[[#This Row],[Roster Received By]]),1,0)</f>
        <v>1</v>
      </c>
      <c r="AA103" s="15">
        <f ca="1">IF(Table25[[#This Row],[Start Date]]&gt;TODAY(),1,)</f>
        <v>1</v>
      </c>
    </row>
    <row r="104" spans="1:27" s="132" customFormat="1" hidden="1" x14ac:dyDescent="0.25">
      <c r="A104" s="96"/>
      <c r="B104" s="96" t="s">
        <v>49</v>
      </c>
      <c r="C104" s="97" t="s">
        <v>133</v>
      </c>
      <c r="D104" s="97">
        <v>5891</v>
      </c>
      <c r="E104" s="96" t="s">
        <v>219</v>
      </c>
      <c r="F104" s="99">
        <v>45882</v>
      </c>
      <c r="G104" s="99">
        <v>45884</v>
      </c>
      <c r="H104" s="102">
        <v>0.33333333333333331</v>
      </c>
      <c r="I104" s="98"/>
      <c r="J104" s="98"/>
      <c r="K104" s="98"/>
      <c r="L104" s="98"/>
      <c r="M104" s="98"/>
      <c r="N104" s="98"/>
      <c r="O104" s="96"/>
      <c r="P104" s="96"/>
      <c r="Q104" s="15">
        <v>25</v>
      </c>
      <c r="R104" s="15">
        <v>3</v>
      </c>
      <c r="S104" s="15"/>
      <c r="T104" s="100"/>
      <c r="U104" s="15"/>
      <c r="V104" s="15"/>
      <c r="W104" s="15"/>
      <c r="X104" s="96"/>
      <c r="Y104" s="69">
        <f ca="1">Table25[[#This Row],[End Date]]+2-TODAY()</f>
        <v>109</v>
      </c>
      <c r="Z104" s="15">
        <f>IF(ISBLANK(Table25[[#This Row],[Roster Received By]]),1,0)</f>
        <v>1</v>
      </c>
      <c r="AA104" s="15">
        <f ca="1">IF(Table25[[#This Row],[Start Date]]&gt;TODAY(),1,)</f>
        <v>1</v>
      </c>
    </row>
    <row r="105" spans="1:27" s="103" customFormat="1" ht="14.25" customHeight="1" x14ac:dyDescent="0.25">
      <c r="A105" s="61"/>
      <c r="B105" s="96" t="s">
        <v>53</v>
      </c>
      <c r="C105" s="97" t="s">
        <v>148</v>
      </c>
      <c r="D105" s="97" t="s">
        <v>149</v>
      </c>
      <c r="E105" s="64" t="s">
        <v>219</v>
      </c>
      <c r="F105" s="99">
        <v>45887</v>
      </c>
      <c r="G105" s="99">
        <v>45891</v>
      </c>
      <c r="H105" s="102">
        <v>0.33333333333333331</v>
      </c>
      <c r="I105" s="102"/>
      <c r="J105" s="99"/>
      <c r="K105" s="99"/>
      <c r="L105" s="99"/>
      <c r="M105" s="99"/>
      <c r="N105" s="99"/>
      <c r="O105" s="96"/>
      <c r="P105" s="96"/>
      <c r="Q105" s="15">
        <v>30</v>
      </c>
      <c r="R105" s="15">
        <v>5</v>
      </c>
      <c r="S105" s="15"/>
      <c r="T105" s="100"/>
      <c r="U105" s="15"/>
      <c r="V105" s="15"/>
      <c r="W105" s="15"/>
      <c r="X105" s="96"/>
      <c r="Y105" s="69">
        <f ca="1">Table25[[#This Row],[End Date]]+2-TODAY()</f>
        <v>116</v>
      </c>
      <c r="Z105" s="15">
        <f>IF(ISBLANK(Table25[[#This Row],[Roster Received By]]),1,0)</f>
        <v>1</v>
      </c>
      <c r="AA105" s="15">
        <f ca="1">IF(Table25[[#This Row],[Start Date]]&gt;TODAY(),1,)</f>
        <v>1</v>
      </c>
    </row>
    <row r="106" spans="1:27" s="132" customFormat="1" ht="14.25" hidden="1" customHeight="1" x14ac:dyDescent="0.25">
      <c r="A106" s="61"/>
      <c r="B106" s="96" t="s">
        <v>49</v>
      </c>
      <c r="C106" s="97" t="s">
        <v>133</v>
      </c>
      <c r="D106" s="97">
        <v>5891</v>
      </c>
      <c r="E106" s="96" t="s">
        <v>220</v>
      </c>
      <c r="F106" s="99">
        <v>45707</v>
      </c>
      <c r="G106" s="99">
        <v>45709</v>
      </c>
      <c r="H106" s="102">
        <v>0.33333333333333331</v>
      </c>
      <c r="I106" s="98"/>
      <c r="J106" s="98"/>
      <c r="K106" s="98"/>
      <c r="L106" s="98"/>
      <c r="M106" s="98"/>
      <c r="N106" s="98"/>
      <c r="O106" s="96"/>
      <c r="P106" s="96"/>
      <c r="Q106" s="15">
        <v>25</v>
      </c>
      <c r="R106" s="15">
        <v>3</v>
      </c>
      <c r="S106" s="15"/>
      <c r="T106" s="100"/>
      <c r="U106" s="15"/>
      <c r="V106" s="15"/>
      <c r="W106" s="15"/>
      <c r="X106" s="96"/>
      <c r="Y106" s="69">
        <f ca="1">Table25[[#This Row],[End Date]]+2-TODAY()</f>
        <v>-66</v>
      </c>
      <c r="Z106" s="15">
        <f>IF(ISBLANK(Table25[[#This Row],[Roster Received By]]),1,0)</f>
        <v>1</v>
      </c>
      <c r="AA106" s="15">
        <f ca="1">IF(Table25[[#This Row],[Start Date]]&gt;TODAY(),1,)</f>
        <v>0</v>
      </c>
    </row>
    <row r="107" spans="1:27" s="103" customFormat="1" ht="16.5" customHeight="1" x14ac:dyDescent="0.25">
      <c r="A107" s="61"/>
      <c r="B107" s="96" t="s">
        <v>53</v>
      </c>
      <c r="C107" s="97" t="s">
        <v>148</v>
      </c>
      <c r="D107" s="97" t="s">
        <v>149</v>
      </c>
      <c r="E107" s="64" t="s">
        <v>220</v>
      </c>
      <c r="F107" s="99">
        <v>45712</v>
      </c>
      <c r="G107" s="99">
        <v>45716</v>
      </c>
      <c r="H107" s="102">
        <v>0.33333333333333331</v>
      </c>
      <c r="I107" s="105"/>
      <c r="J107" s="99"/>
      <c r="K107" s="99"/>
      <c r="L107" s="99"/>
      <c r="M107" s="99"/>
      <c r="N107" s="99"/>
      <c r="O107" s="96"/>
      <c r="P107" s="96"/>
      <c r="Q107" s="15">
        <v>30</v>
      </c>
      <c r="R107" s="15">
        <v>5</v>
      </c>
      <c r="S107" s="15"/>
      <c r="T107" s="100"/>
      <c r="U107" s="15"/>
      <c r="V107" s="15"/>
      <c r="W107" s="100"/>
      <c r="X107" s="96"/>
      <c r="Y107" s="69">
        <f ca="1">Table25[[#This Row],[End Date]]+2-TODAY()</f>
        <v>-59</v>
      </c>
      <c r="Z107" s="15">
        <f>IF(ISBLANK(Table25[[#This Row],[Roster Received By]]),1,0)</f>
        <v>1</v>
      </c>
      <c r="AA107" s="15">
        <f ca="1">IF(Table25[[#This Row],[Start Date]]&gt;TODAY(),1,)</f>
        <v>0</v>
      </c>
    </row>
    <row r="108" spans="1:27" s="103" customFormat="1" ht="14.25" hidden="1" customHeight="1" x14ac:dyDescent="0.25">
      <c r="A108" s="61" t="s">
        <v>450</v>
      </c>
      <c r="B108" s="96" t="s">
        <v>49</v>
      </c>
      <c r="C108" s="97" t="s">
        <v>133</v>
      </c>
      <c r="D108" s="97">
        <v>5891</v>
      </c>
      <c r="E108" s="96"/>
      <c r="F108" s="99">
        <v>45609</v>
      </c>
      <c r="G108" s="99">
        <v>45611</v>
      </c>
      <c r="H108" s="102">
        <v>0.33333333333333331</v>
      </c>
      <c r="I108" s="102"/>
      <c r="J108" s="102"/>
      <c r="K108" s="102"/>
      <c r="L108" s="102"/>
      <c r="M108" s="102"/>
      <c r="N108" s="99"/>
      <c r="O108" s="96"/>
      <c r="P108" s="96"/>
      <c r="Q108" s="15">
        <v>25</v>
      </c>
      <c r="R108" s="15">
        <v>3</v>
      </c>
      <c r="S108" s="15"/>
      <c r="T108" s="100"/>
      <c r="U108" s="15"/>
      <c r="V108" s="15"/>
      <c r="W108" s="15"/>
      <c r="X108" s="96"/>
      <c r="Y108" s="69">
        <f ca="1">Table25[[#This Row],[End Date]]+2-TODAY()</f>
        <v>-164</v>
      </c>
      <c r="Z108" s="15">
        <f>IF(ISBLANK(Table25[[#This Row],[Roster Received By]]),1,0)</f>
        <v>1</v>
      </c>
      <c r="AA108" s="15">
        <f ca="1">IF(Table25[[#This Row],[Start Date]]&gt;TODAY(),1,)</f>
        <v>0</v>
      </c>
    </row>
    <row r="109" spans="1:27" s="103" customFormat="1" ht="14.25" hidden="1" customHeight="1" x14ac:dyDescent="0.25">
      <c r="A109" s="61" t="s">
        <v>450</v>
      </c>
      <c r="B109" s="96" t="s">
        <v>49</v>
      </c>
      <c r="C109" s="97" t="s">
        <v>133</v>
      </c>
      <c r="D109" s="97">
        <v>5891</v>
      </c>
      <c r="E109" s="96"/>
      <c r="F109" s="99">
        <v>45629</v>
      </c>
      <c r="G109" s="99">
        <v>45631</v>
      </c>
      <c r="H109" s="102">
        <v>0.33333333333333331</v>
      </c>
      <c r="I109" s="102"/>
      <c r="J109" s="98"/>
      <c r="K109" s="98"/>
      <c r="L109" s="98"/>
      <c r="M109" s="98"/>
      <c r="N109" s="98"/>
      <c r="O109" s="96"/>
      <c r="P109" s="96"/>
      <c r="Q109" s="15">
        <v>25</v>
      </c>
      <c r="R109" s="15">
        <v>3</v>
      </c>
      <c r="S109" s="15"/>
      <c r="T109" s="100"/>
      <c r="U109" s="15"/>
      <c r="V109" s="15"/>
      <c r="W109" s="15"/>
      <c r="X109" s="96"/>
      <c r="Y109" s="69">
        <f ca="1">Table25[[#This Row],[End Date]]+2-TODAY()</f>
        <v>-144</v>
      </c>
      <c r="Z109" s="15">
        <f>IF(ISBLANK(Table25[[#This Row],[Roster Received By]]),1,0)</f>
        <v>1</v>
      </c>
      <c r="AA109" s="15">
        <f ca="1">IF(Table25[[#This Row],[Start Date]]&gt;TODAY(),1,)</f>
        <v>0</v>
      </c>
    </row>
    <row r="110" spans="1:27" s="103" customFormat="1" ht="14.25" hidden="1" customHeight="1" x14ac:dyDescent="0.25">
      <c r="A110" s="61" t="s">
        <v>450</v>
      </c>
      <c r="B110" s="96" t="s">
        <v>49</v>
      </c>
      <c r="C110" s="97" t="s">
        <v>133</v>
      </c>
      <c r="D110" s="97">
        <v>5891</v>
      </c>
      <c r="E110" s="96"/>
      <c r="F110" s="99">
        <v>45748</v>
      </c>
      <c r="G110" s="99">
        <v>45750</v>
      </c>
      <c r="H110" s="102">
        <v>0.33333333333333331</v>
      </c>
      <c r="I110" s="98"/>
      <c r="J110" s="98"/>
      <c r="K110" s="98"/>
      <c r="L110" s="98"/>
      <c r="M110" s="98"/>
      <c r="N110" s="98"/>
      <c r="O110" s="96"/>
      <c r="P110" s="96"/>
      <c r="Q110" s="15">
        <v>25</v>
      </c>
      <c r="R110" s="15">
        <v>3</v>
      </c>
      <c r="S110" s="15"/>
      <c r="T110" s="100"/>
      <c r="U110" s="15"/>
      <c r="V110" s="15"/>
      <c r="W110" s="97"/>
      <c r="X110" s="96"/>
      <c r="Y110" s="69">
        <f ca="1">Table25[[#This Row],[End Date]]+2-TODAY()</f>
        <v>-25</v>
      </c>
      <c r="Z110" s="15">
        <f>IF(ISBLANK(Table25[[#This Row],[Roster Received By]]),1,0)</f>
        <v>1</v>
      </c>
      <c r="AA110" s="15">
        <f ca="1">IF(Table25[[#This Row],[Start Date]]&gt;TODAY(),1,)</f>
        <v>0</v>
      </c>
    </row>
    <row r="111" spans="1:27" s="103" customFormat="1" ht="14.25" customHeight="1" x14ac:dyDescent="0.25">
      <c r="A111" s="61" t="s">
        <v>450</v>
      </c>
      <c r="B111" s="96" t="s">
        <v>53</v>
      </c>
      <c r="C111" s="97" t="s">
        <v>148</v>
      </c>
      <c r="D111" s="97" t="s">
        <v>149</v>
      </c>
      <c r="E111" s="64"/>
      <c r="F111" s="99">
        <v>45635</v>
      </c>
      <c r="G111" s="99">
        <v>45639</v>
      </c>
      <c r="H111" s="102">
        <v>0.33333333333333331</v>
      </c>
      <c r="I111" s="105"/>
      <c r="J111" s="99"/>
      <c r="K111" s="99"/>
      <c r="L111" s="99"/>
      <c r="M111" s="99"/>
      <c r="N111" s="99"/>
      <c r="O111" s="96"/>
      <c r="P111" s="96"/>
      <c r="Q111" s="15">
        <v>30</v>
      </c>
      <c r="R111" s="15">
        <v>5</v>
      </c>
      <c r="S111" s="15"/>
      <c r="T111" s="100"/>
      <c r="U111" s="15"/>
      <c r="V111" s="15"/>
      <c r="W111" s="15"/>
      <c r="X111" s="96"/>
      <c r="Y111" s="69">
        <f ca="1">Table25[[#This Row],[End Date]]+2-TODAY()</f>
        <v>-136</v>
      </c>
      <c r="Z111" s="15">
        <f>IF(ISBLANK(Table25[[#This Row],[Roster Received By]]),1,0)</f>
        <v>1</v>
      </c>
      <c r="AA111" s="15">
        <f ca="1">IF(Table25[[#This Row],[Start Date]]&gt;TODAY(),1,)</f>
        <v>0</v>
      </c>
    </row>
    <row r="112" spans="1:27" s="103" customFormat="1" ht="14.25" customHeight="1" x14ac:dyDescent="0.25">
      <c r="A112" s="61" t="s">
        <v>450</v>
      </c>
      <c r="B112" s="96" t="s">
        <v>53</v>
      </c>
      <c r="C112" s="97" t="s">
        <v>148</v>
      </c>
      <c r="D112" s="97" t="s">
        <v>149</v>
      </c>
      <c r="E112" s="96"/>
      <c r="F112" s="66">
        <v>45810</v>
      </c>
      <c r="G112" s="66">
        <v>45814</v>
      </c>
      <c r="H112" s="102">
        <v>0.33333333333333331</v>
      </c>
      <c r="I112" s="98"/>
      <c r="J112" s="98"/>
      <c r="K112" s="98"/>
      <c r="L112" s="98"/>
      <c r="M112" s="98"/>
      <c r="N112" s="98"/>
      <c r="O112" s="96"/>
      <c r="P112" s="96"/>
      <c r="Q112" s="15">
        <v>30</v>
      </c>
      <c r="R112" s="15">
        <v>5</v>
      </c>
      <c r="S112" s="104"/>
      <c r="T112" s="100"/>
      <c r="U112" s="15"/>
      <c r="V112" s="15"/>
      <c r="W112" s="15"/>
      <c r="X112" s="96"/>
      <c r="Y112" s="69">
        <f ca="1">Table25[[#This Row],[End Date]]+2-TODAY()</f>
        <v>39</v>
      </c>
      <c r="Z112" s="15">
        <f>IF(ISBLANK(Table25[[#This Row],[Roster Received By]]),1,0)</f>
        <v>1</v>
      </c>
      <c r="AA112" s="15">
        <f ca="1">IF(Table25[[#This Row],[Start Date]]&gt;TODAY(),1,)</f>
        <v>1</v>
      </c>
    </row>
    <row r="113" spans="1:27" s="103" customFormat="1" ht="14.25" hidden="1" customHeight="1" x14ac:dyDescent="0.25">
      <c r="A113" s="61"/>
      <c r="B113" s="96"/>
      <c r="C113" s="97" t="e">
        <v>#N/A</v>
      </c>
      <c r="D113" s="97" t="e">
        <v>#N/A</v>
      </c>
      <c r="E113" s="64"/>
      <c r="F113" s="66"/>
      <c r="G113" s="66"/>
      <c r="H113" s="98"/>
      <c r="I113" s="98"/>
      <c r="J113" s="99"/>
      <c r="K113" s="99"/>
      <c r="L113" s="99"/>
      <c r="M113" s="99"/>
      <c r="N113" s="99"/>
      <c r="O113" s="96"/>
      <c r="P113" s="96"/>
      <c r="Q113" s="15" t="e">
        <v>#N/A</v>
      </c>
      <c r="R113" s="15" t="e">
        <v>#N/A</v>
      </c>
      <c r="S113" s="15"/>
      <c r="T113" s="100"/>
      <c r="U113" s="15"/>
      <c r="V113" s="15"/>
      <c r="W113" s="15"/>
      <c r="X113" s="96"/>
      <c r="Y113" s="69">
        <f ca="1">Table25[[#This Row],[End Date]]+2-TODAY()</f>
        <v>-45775</v>
      </c>
      <c r="Z113" s="15">
        <f>IF(ISBLANK(Table25[[#This Row],[Roster Received By]]),1,0)</f>
        <v>1</v>
      </c>
      <c r="AA113" s="15">
        <f ca="1">IF(Table25[[#This Row],[Start Date]]&gt;TODAY(),1,)</f>
        <v>0</v>
      </c>
    </row>
    <row r="114" spans="1:27" s="103" customFormat="1" ht="14.25" hidden="1" customHeight="1" x14ac:dyDescent="0.25">
      <c r="A114" s="61"/>
      <c r="B114" s="96"/>
      <c r="C114" s="97" t="e">
        <v>#N/A</v>
      </c>
      <c r="D114" s="97" t="e">
        <v>#N/A</v>
      </c>
      <c r="E114" s="96"/>
      <c r="F114" s="66"/>
      <c r="G114" s="99"/>
      <c r="H114" s="99"/>
      <c r="I114" s="98"/>
      <c r="J114" s="98"/>
      <c r="K114" s="98"/>
      <c r="L114" s="98"/>
      <c r="M114" s="98"/>
      <c r="N114" s="98"/>
      <c r="O114" s="96"/>
      <c r="P114" s="96"/>
      <c r="Q114" s="15" t="e">
        <v>#N/A</v>
      </c>
      <c r="R114" s="15" t="e">
        <v>#N/A</v>
      </c>
      <c r="S114" s="15"/>
      <c r="T114" s="100"/>
      <c r="U114" s="15"/>
      <c r="V114" s="15"/>
      <c r="W114" s="15"/>
      <c r="X114" s="96"/>
      <c r="Y114" s="69">
        <f ca="1">Table25[[#This Row],[End Date]]+2-TODAY()</f>
        <v>-45775</v>
      </c>
      <c r="Z114" s="15">
        <f>IF(ISBLANK(Table25[[#This Row],[Roster Received By]]),1,0)</f>
        <v>1</v>
      </c>
      <c r="AA114" s="15">
        <f ca="1">IF(Table25[[#This Row],[Start Date]]&gt;TODAY(),1,)</f>
        <v>0</v>
      </c>
    </row>
    <row r="115" spans="1:27" s="103" customFormat="1" ht="14.25" hidden="1" customHeight="1" x14ac:dyDescent="0.25">
      <c r="A115" s="61"/>
      <c r="B115" s="96"/>
      <c r="C115" s="97" t="e">
        <v>#N/A</v>
      </c>
      <c r="D115" s="97" t="e">
        <v>#N/A</v>
      </c>
      <c r="E115" s="96"/>
      <c r="F115" s="99"/>
      <c r="G115" s="99"/>
      <c r="H115" s="102"/>
      <c r="I115" s="102"/>
      <c r="J115" s="99"/>
      <c r="K115" s="99"/>
      <c r="L115" s="99"/>
      <c r="M115" s="99"/>
      <c r="N115" s="99"/>
      <c r="O115" s="96"/>
      <c r="P115" s="96"/>
      <c r="Q115" s="15" t="e">
        <v>#N/A</v>
      </c>
      <c r="R115" s="15" t="e">
        <v>#N/A</v>
      </c>
      <c r="S115" s="15"/>
      <c r="T115" s="100"/>
      <c r="U115" s="15"/>
      <c r="V115" s="15"/>
      <c r="W115" s="15"/>
      <c r="X115" s="96"/>
      <c r="Y115" s="69">
        <f ca="1">Table25[[#This Row],[End Date]]+2-TODAY()</f>
        <v>-45775</v>
      </c>
      <c r="Z115" s="15">
        <f>IF(ISBLANK(Table25[[#This Row],[Roster Received By]]),1,0)</f>
        <v>1</v>
      </c>
      <c r="AA115" s="15">
        <f ca="1">IF(Table25[[#This Row],[Start Date]]&gt;TODAY(),1,)</f>
        <v>0</v>
      </c>
    </row>
    <row r="116" spans="1:27" s="103" customFormat="1" ht="14.25" hidden="1" customHeight="1" x14ac:dyDescent="0.25">
      <c r="A116" s="61"/>
      <c r="B116" s="96"/>
      <c r="C116" s="97" t="e">
        <v>#N/A</v>
      </c>
      <c r="D116" s="97" t="e">
        <v>#N/A</v>
      </c>
      <c r="E116" s="96"/>
      <c r="F116" s="99"/>
      <c r="G116" s="99"/>
      <c r="H116" s="102"/>
      <c r="I116" s="102"/>
      <c r="J116" s="102"/>
      <c r="K116" s="102"/>
      <c r="L116" s="102"/>
      <c r="M116" s="102"/>
      <c r="N116" s="99"/>
      <c r="O116" s="96"/>
      <c r="P116" s="96"/>
      <c r="Q116" s="15" t="e">
        <v>#N/A</v>
      </c>
      <c r="R116" s="15" t="e">
        <v>#N/A</v>
      </c>
      <c r="S116" s="15"/>
      <c r="T116" s="100"/>
      <c r="U116" s="15"/>
      <c r="V116" s="15"/>
      <c r="W116" s="15"/>
      <c r="X116" s="96"/>
      <c r="Y116" s="69">
        <f ca="1">Table25[[#This Row],[End Date]]+2-TODAY()</f>
        <v>-45775</v>
      </c>
      <c r="Z116" s="15">
        <f>IF(ISBLANK(Table25[[#This Row],[Roster Received By]]),1,0)</f>
        <v>1</v>
      </c>
      <c r="AA116" s="15">
        <f ca="1">IF(Table25[[#This Row],[Start Date]]&gt;TODAY(),1,)</f>
        <v>0</v>
      </c>
    </row>
    <row r="117" spans="1:27" s="103" customFormat="1" ht="14.25" hidden="1" customHeight="1" x14ac:dyDescent="0.25">
      <c r="A117" s="61"/>
      <c r="B117" s="96"/>
      <c r="C117" s="97" t="e">
        <v>#N/A</v>
      </c>
      <c r="D117" s="97" t="e">
        <v>#N/A</v>
      </c>
      <c r="E117" s="96"/>
      <c r="F117" s="99"/>
      <c r="G117" s="99"/>
      <c r="H117" s="102"/>
      <c r="I117" s="102"/>
      <c r="J117" s="99"/>
      <c r="K117" s="99"/>
      <c r="L117" s="99"/>
      <c r="M117" s="99"/>
      <c r="N117" s="99"/>
      <c r="O117" s="96"/>
      <c r="P117" s="96"/>
      <c r="Q117" s="15" t="e">
        <v>#N/A</v>
      </c>
      <c r="R117" s="15" t="e">
        <v>#N/A</v>
      </c>
      <c r="S117" s="15"/>
      <c r="T117" s="100"/>
      <c r="U117" s="15"/>
      <c r="V117" s="15"/>
      <c r="W117" s="15"/>
      <c r="X117" s="96"/>
      <c r="Y117" s="69">
        <f ca="1">Table25[[#This Row],[End Date]]+2-TODAY()</f>
        <v>-45775</v>
      </c>
      <c r="Z117" s="15">
        <f>IF(ISBLANK(Table25[[#This Row],[Roster Received By]]),1,0)</f>
        <v>1</v>
      </c>
      <c r="AA117" s="15">
        <f ca="1">IF(Table25[[#This Row],[Start Date]]&gt;TODAY(),1,)</f>
        <v>0</v>
      </c>
    </row>
    <row r="118" spans="1:27" s="103" customFormat="1" ht="14.25" hidden="1" customHeight="1" x14ac:dyDescent="0.25">
      <c r="A118" s="61"/>
      <c r="B118" s="96"/>
      <c r="C118" s="97" t="e">
        <v>#N/A</v>
      </c>
      <c r="D118" s="97" t="e">
        <v>#N/A</v>
      </c>
      <c r="E118" s="96"/>
      <c r="F118" s="99"/>
      <c r="G118" s="99"/>
      <c r="H118" s="99"/>
      <c r="I118" s="98"/>
      <c r="J118" s="98"/>
      <c r="K118" s="98"/>
      <c r="L118" s="98"/>
      <c r="M118" s="98"/>
      <c r="N118" s="98"/>
      <c r="O118" s="96"/>
      <c r="P118" s="96"/>
      <c r="Q118" s="15" t="e">
        <v>#N/A</v>
      </c>
      <c r="R118" s="15" t="e">
        <v>#N/A</v>
      </c>
      <c r="S118" s="15"/>
      <c r="T118" s="100"/>
      <c r="U118" s="15"/>
      <c r="V118" s="15"/>
      <c r="W118" s="15"/>
      <c r="X118" s="96"/>
      <c r="Y118" s="69">
        <f ca="1">Table25[[#This Row],[End Date]]+2-TODAY()</f>
        <v>-45775</v>
      </c>
      <c r="Z118" s="15">
        <f>IF(ISBLANK(Table25[[#This Row],[Roster Received By]]),1,0)</f>
        <v>1</v>
      </c>
      <c r="AA118" s="15">
        <f ca="1">IF(Table25[[#This Row],[Start Date]]&gt;TODAY(),1,)</f>
        <v>0</v>
      </c>
    </row>
    <row r="119" spans="1:27" s="103" customFormat="1" ht="14.25" hidden="1" customHeight="1" x14ac:dyDescent="0.25">
      <c r="A119" s="61"/>
      <c r="B119" s="96"/>
      <c r="C119" s="97" t="e">
        <v>#N/A</v>
      </c>
      <c r="D119" s="97" t="e">
        <v>#N/A</v>
      </c>
      <c r="E119" s="96"/>
      <c r="F119" s="66"/>
      <c r="G119" s="66"/>
      <c r="H119" s="66"/>
      <c r="I119" s="98"/>
      <c r="J119" s="98"/>
      <c r="K119" s="98"/>
      <c r="L119" s="98"/>
      <c r="M119" s="98"/>
      <c r="N119" s="98"/>
      <c r="O119" s="96"/>
      <c r="P119" s="96"/>
      <c r="Q119" s="15" t="e">
        <v>#N/A</v>
      </c>
      <c r="R119" s="15" t="e">
        <v>#N/A</v>
      </c>
      <c r="S119" s="15"/>
      <c r="T119" s="100"/>
      <c r="U119" s="15"/>
      <c r="V119" s="15"/>
      <c r="W119" s="15"/>
      <c r="X119" s="96"/>
      <c r="Y119" s="69">
        <f ca="1">Table25[[#This Row],[End Date]]+2-TODAY()</f>
        <v>-45775</v>
      </c>
      <c r="Z119" s="15">
        <f>IF(ISBLANK(Table25[[#This Row],[Roster Received By]]),1,0)</f>
        <v>1</v>
      </c>
      <c r="AA119" s="15">
        <f ca="1">IF(Table25[[#This Row],[Start Date]]&gt;TODAY(),1,)</f>
        <v>0</v>
      </c>
    </row>
    <row r="120" spans="1:27" s="103" customFormat="1" ht="14.25" hidden="1" customHeight="1" x14ac:dyDescent="0.25">
      <c r="A120" s="96"/>
      <c r="B120" s="96"/>
      <c r="C120" s="97" t="e">
        <v>#N/A</v>
      </c>
      <c r="D120" s="97" t="e">
        <v>#N/A</v>
      </c>
      <c r="E120" s="96"/>
      <c r="F120" s="99"/>
      <c r="G120" s="99"/>
      <c r="H120" s="99"/>
      <c r="I120" s="98"/>
      <c r="J120" s="98"/>
      <c r="K120" s="98"/>
      <c r="L120" s="98"/>
      <c r="M120" s="98"/>
      <c r="N120" s="98"/>
      <c r="O120" s="96"/>
      <c r="P120" s="96"/>
      <c r="Q120" s="15" t="e">
        <v>#N/A</v>
      </c>
      <c r="R120" s="15" t="e">
        <v>#N/A</v>
      </c>
      <c r="S120" s="15"/>
      <c r="T120" s="100"/>
      <c r="U120" s="15"/>
      <c r="V120" s="15"/>
      <c r="W120" s="15"/>
      <c r="X120" s="96"/>
      <c r="Y120" s="69">
        <f ca="1">Table25[[#This Row],[End Date]]+2-TODAY()</f>
        <v>-45775</v>
      </c>
      <c r="Z120" s="15">
        <f>IF(ISBLANK(Table25[[#This Row],[Roster Received By]]),1,0)</f>
        <v>1</v>
      </c>
      <c r="AA120" s="15">
        <f ca="1">IF(Table25[[#This Row],[Start Date]]&gt;TODAY(),1,)</f>
        <v>0</v>
      </c>
    </row>
    <row r="121" spans="1:27" s="103" customFormat="1" ht="14.25" hidden="1" customHeight="1" x14ac:dyDescent="0.25">
      <c r="A121" s="61"/>
      <c r="B121" s="96"/>
      <c r="C121" s="97" t="e">
        <v>#N/A</v>
      </c>
      <c r="D121" s="97" t="e">
        <v>#N/A</v>
      </c>
      <c r="E121" s="138"/>
      <c r="F121" s="66"/>
      <c r="G121" s="99"/>
      <c r="H121" s="102"/>
      <c r="I121" s="102"/>
      <c r="J121" s="99"/>
      <c r="K121" s="99"/>
      <c r="L121" s="99"/>
      <c r="M121" s="99"/>
      <c r="N121" s="99"/>
      <c r="O121" s="96"/>
      <c r="P121" s="96"/>
      <c r="Q121" s="15" t="e">
        <v>#N/A</v>
      </c>
      <c r="R121" s="15" t="e">
        <v>#N/A</v>
      </c>
      <c r="S121" s="15"/>
      <c r="T121" s="100"/>
      <c r="U121" s="15"/>
      <c r="V121" s="15"/>
      <c r="W121" s="97"/>
      <c r="X121" s="96"/>
      <c r="Y121" s="69">
        <f ca="1">Table25[[#This Row],[End Date]]+2-TODAY()</f>
        <v>-45775</v>
      </c>
      <c r="Z121" s="15">
        <f>IF(ISBLANK(Table25[[#This Row],[Roster Received By]]),1,0)</f>
        <v>1</v>
      </c>
      <c r="AA121" s="15">
        <f ca="1">IF(Table25[[#This Row],[Start Date]]&gt;TODAY(),1,)</f>
        <v>0</v>
      </c>
    </row>
    <row r="122" spans="1:27" s="103" customFormat="1" ht="14.25" hidden="1" customHeight="1" x14ac:dyDescent="0.25">
      <c r="A122" s="61"/>
      <c r="B122" s="96"/>
      <c r="C122" s="97" t="e">
        <v>#N/A</v>
      </c>
      <c r="D122" s="97" t="e">
        <v>#N/A</v>
      </c>
      <c r="E122" s="96"/>
      <c r="F122" s="99"/>
      <c r="G122" s="99"/>
      <c r="H122" s="102"/>
      <c r="I122" s="102"/>
      <c r="J122" s="99"/>
      <c r="K122" s="99"/>
      <c r="L122" s="99"/>
      <c r="M122" s="99"/>
      <c r="N122" s="99"/>
      <c r="O122" s="96"/>
      <c r="P122" s="96"/>
      <c r="Q122" s="15" t="e">
        <v>#N/A</v>
      </c>
      <c r="R122" s="15" t="e">
        <v>#N/A</v>
      </c>
      <c r="S122" s="15"/>
      <c r="T122" s="100"/>
      <c r="U122" s="15"/>
      <c r="V122" s="15"/>
      <c r="W122" s="15"/>
      <c r="X122" s="96"/>
      <c r="Y122" s="69">
        <f ca="1">Table25[[#This Row],[End Date]]+2-TODAY()</f>
        <v>-45775</v>
      </c>
      <c r="Z122" s="15">
        <f>IF(ISBLANK(Table25[[#This Row],[Roster Received By]]),1,0)</f>
        <v>1</v>
      </c>
      <c r="AA122" s="15">
        <f ca="1">IF(Table25[[#This Row],[Start Date]]&gt;TODAY(),1,)</f>
        <v>0</v>
      </c>
    </row>
    <row r="123" spans="1:27" s="103" customFormat="1" ht="14.25" hidden="1" customHeight="1" x14ac:dyDescent="0.25">
      <c r="A123" s="61"/>
      <c r="B123" s="96"/>
      <c r="C123" s="97" t="e">
        <v>#N/A</v>
      </c>
      <c r="D123" s="97" t="e">
        <v>#N/A</v>
      </c>
      <c r="E123" s="96"/>
      <c r="F123" s="99"/>
      <c r="G123" s="99"/>
      <c r="H123" s="102"/>
      <c r="I123" s="102"/>
      <c r="J123" s="99"/>
      <c r="K123" s="99"/>
      <c r="L123" s="99"/>
      <c r="M123" s="99"/>
      <c r="N123" s="99"/>
      <c r="O123" s="96"/>
      <c r="P123" s="96"/>
      <c r="Q123" s="15" t="e">
        <v>#N/A</v>
      </c>
      <c r="R123" s="15" t="e">
        <v>#N/A</v>
      </c>
      <c r="S123" s="15"/>
      <c r="T123" s="100"/>
      <c r="U123" s="15"/>
      <c r="V123" s="15"/>
      <c r="W123" s="15"/>
      <c r="X123" s="96"/>
      <c r="Y123" s="69">
        <f ca="1">Table25[[#This Row],[End Date]]+2-TODAY()</f>
        <v>-45775</v>
      </c>
      <c r="Z123" s="15">
        <f>IF(ISBLANK(Table25[[#This Row],[Roster Received By]]),1,0)</f>
        <v>1</v>
      </c>
      <c r="AA123" s="15">
        <f ca="1">IF(Table25[[#This Row],[Start Date]]&gt;TODAY(),1,)</f>
        <v>0</v>
      </c>
    </row>
    <row r="124" spans="1:27" s="103" customFormat="1" ht="14.25" hidden="1" customHeight="1" x14ac:dyDescent="0.25">
      <c r="A124" s="61"/>
      <c r="B124" s="96"/>
      <c r="C124" s="97" t="e">
        <v>#N/A</v>
      </c>
      <c r="D124" s="97" t="e">
        <v>#N/A</v>
      </c>
      <c r="E124" s="96"/>
      <c r="F124" s="99"/>
      <c r="G124" s="99"/>
      <c r="H124" s="99"/>
      <c r="I124" s="98"/>
      <c r="J124" s="98"/>
      <c r="K124" s="98"/>
      <c r="L124" s="98"/>
      <c r="M124" s="98"/>
      <c r="N124" s="98"/>
      <c r="O124" s="96"/>
      <c r="P124" s="96"/>
      <c r="Q124" s="15" t="e">
        <v>#N/A</v>
      </c>
      <c r="R124" s="15" t="e">
        <v>#N/A</v>
      </c>
      <c r="S124" s="15"/>
      <c r="T124" s="100"/>
      <c r="U124" s="15"/>
      <c r="V124" s="15"/>
      <c r="W124" s="15"/>
      <c r="X124" s="96"/>
      <c r="Y124" s="69">
        <f ca="1">Table25[[#This Row],[End Date]]+2-TODAY()</f>
        <v>-45775</v>
      </c>
      <c r="Z124" s="15">
        <f>IF(ISBLANK(Table25[[#This Row],[Roster Received By]]),1,0)</f>
        <v>1</v>
      </c>
      <c r="AA124" s="15">
        <f ca="1">IF(Table25[[#This Row],[Start Date]]&gt;TODAY(),1,)</f>
        <v>0</v>
      </c>
    </row>
    <row r="125" spans="1:27" s="103" customFormat="1" ht="14.25" hidden="1" customHeight="1" x14ac:dyDescent="0.25">
      <c r="A125" s="61"/>
      <c r="B125" s="96"/>
      <c r="C125" s="97" t="e">
        <v>#N/A</v>
      </c>
      <c r="D125" s="97" t="e">
        <v>#N/A</v>
      </c>
      <c r="E125" s="96"/>
      <c r="F125" s="99"/>
      <c r="G125" s="99"/>
      <c r="H125" s="99"/>
      <c r="I125" s="98"/>
      <c r="J125" s="98"/>
      <c r="K125" s="98"/>
      <c r="L125" s="98"/>
      <c r="M125" s="98"/>
      <c r="N125" s="98"/>
      <c r="O125" s="96"/>
      <c r="P125" s="96"/>
      <c r="Q125" s="15" t="e">
        <v>#N/A</v>
      </c>
      <c r="R125" s="15" t="e">
        <v>#N/A</v>
      </c>
      <c r="S125" s="15"/>
      <c r="T125" s="100"/>
      <c r="U125" s="15"/>
      <c r="V125" s="15"/>
      <c r="W125" s="15"/>
      <c r="X125" s="96"/>
      <c r="Y125" s="69">
        <f ca="1">Table25[[#This Row],[End Date]]+2-TODAY()</f>
        <v>-45775</v>
      </c>
      <c r="Z125" s="15">
        <f>IF(ISBLANK(Table25[[#This Row],[Roster Received By]]),1,0)</f>
        <v>1</v>
      </c>
      <c r="AA125" s="15">
        <f ca="1">IF(Table25[[#This Row],[Start Date]]&gt;TODAY(),1,)</f>
        <v>0</v>
      </c>
    </row>
    <row r="126" spans="1:27" s="103" customFormat="1" ht="14.25" hidden="1" customHeight="1" x14ac:dyDescent="0.25">
      <c r="A126" s="61"/>
      <c r="B126" s="96"/>
      <c r="C126" s="97" t="e">
        <v>#N/A</v>
      </c>
      <c r="D126" s="97" t="e">
        <v>#N/A</v>
      </c>
      <c r="E126" s="96"/>
      <c r="F126" s="99"/>
      <c r="G126" s="99"/>
      <c r="H126" s="102"/>
      <c r="I126" s="102"/>
      <c r="J126" s="99"/>
      <c r="K126" s="99"/>
      <c r="L126" s="99"/>
      <c r="M126" s="99"/>
      <c r="N126" s="99"/>
      <c r="O126" s="96"/>
      <c r="P126" s="96"/>
      <c r="Q126" s="15" t="e">
        <v>#N/A</v>
      </c>
      <c r="R126" s="15" t="e">
        <v>#N/A</v>
      </c>
      <c r="S126" s="15"/>
      <c r="T126" s="100"/>
      <c r="U126" s="15"/>
      <c r="V126" s="15"/>
      <c r="W126" s="15"/>
      <c r="X126" s="96"/>
      <c r="Y126" s="69">
        <f ca="1">Table25[[#This Row],[End Date]]+2-TODAY()</f>
        <v>-45775</v>
      </c>
      <c r="Z126" s="15">
        <f>IF(ISBLANK(Table25[[#This Row],[Roster Received By]]),1,0)</f>
        <v>1</v>
      </c>
      <c r="AA126" s="15">
        <f ca="1">IF(Table25[[#This Row],[Start Date]]&gt;TODAY(),1,)</f>
        <v>0</v>
      </c>
    </row>
    <row r="127" spans="1:27" s="103" customFormat="1" ht="14.25" hidden="1" customHeight="1" x14ac:dyDescent="0.25">
      <c r="A127" s="61"/>
      <c r="B127" s="96"/>
      <c r="C127" s="97" t="e">
        <v>#N/A</v>
      </c>
      <c r="D127" s="97" t="e">
        <v>#N/A</v>
      </c>
      <c r="E127" s="96"/>
      <c r="F127" s="99"/>
      <c r="G127" s="99"/>
      <c r="H127" s="99"/>
      <c r="I127" s="98"/>
      <c r="J127" s="98"/>
      <c r="K127" s="98"/>
      <c r="L127" s="98"/>
      <c r="M127" s="98"/>
      <c r="N127" s="98"/>
      <c r="O127" s="96"/>
      <c r="P127" s="96"/>
      <c r="Q127" s="15" t="e">
        <v>#N/A</v>
      </c>
      <c r="R127" s="15" t="e">
        <v>#N/A</v>
      </c>
      <c r="S127" s="15"/>
      <c r="T127" s="100"/>
      <c r="U127" s="15"/>
      <c r="V127" s="15"/>
      <c r="W127" s="15"/>
      <c r="X127" s="96"/>
      <c r="Y127" s="69">
        <f ca="1">Table25[[#This Row],[End Date]]+2-TODAY()</f>
        <v>-45775</v>
      </c>
      <c r="Z127" s="15">
        <f>IF(ISBLANK(Table25[[#This Row],[Roster Received By]]),1,0)</f>
        <v>1</v>
      </c>
      <c r="AA127" s="15">
        <f ca="1">IF(Table25[[#This Row],[Start Date]]&gt;TODAY(),1,)</f>
        <v>0</v>
      </c>
    </row>
    <row r="128" spans="1:27" s="103" customFormat="1" ht="14.25" hidden="1" customHeight="1" x14ac:dyDescent="0.25">
      <c r="A128" s="96"/>
      <c r="B128" s="96"/>
      <c r="C128" s="97" t="e">
        <v>#N/A</v>
      </c>
      <c r="D128" s="97" t="e">
        <v>#N/A</v>
      </c>
      <c r="E128" s="96"/>
      <c r="F128" s="99"/>
      <c r="G128" s="99"/>
      <c r="H128" s="102"/>
      <c r="I128" s="102"/>
      <c r="J128" s="99"/>
      <c r="K128" s="99"/>
      <c r="L128" s="99"/>
      <c r="M128" s="99"/>
      <c r="N128" s="99"/>
      <c r="O128" s="96"/>
      <c r="P128" s="96"/>
      <c r="Q128" s="15" t="e">
        <v>#N/A</v>
      </c>
      <c r="R128" s="15" t="e">
        <v>#N/A</v>
      </c>
      <c r="S128" s="15"/>
      <c r="T128" s="100"/>
      <c r="U128" s="15"/>
      <c r="V128" s="15"/>
      <c r="W128" s="15"/>
      <c r="X128" s="96"/>
      <c r="Y128" s="69">
        <f ca="1">Table25[[#This Row],[End Date]]+2-TODAY()</f>
        <v>-45775</v>
      </c>
      <c r="Z128" s="15">
        <f>IF(ISBLANK(Table25[[#This Row],[Roster Received By]]),1,0)</f>
        <v>1</v>
      </c>
      <c r="AA128" s="15">
        <f ca="1">IF(Table25[[#This Row],[Start Date]]&gt;TODAY(),1,)</f>
        <v>0</v>
      </c>
    </row>
    <row r="129" spans="1:27" s="132" customFormat="1" hidden="1" x14ac:dyDescent="0.25">
      <c r="A129" s="61"/>
      <c r="B129" s="96"/>
      <c r="C129" s="97" t="e">
        <v>#N/A</v>
      </c>
      <c r="D129" s="97" t="e">
        <v>#N/A</v>
      </c>
      <c r="E129" s="96"/>
      <c r="F129" s="99"/>
      <c r="G129" s="99"/>
      <c r="H129" s="102"/>
      <c r="I129" s="102"/>
      <c r="J129" s="99"/>
      <c r="K129" s="99"/>
      <c r="L129" s="99"/>
      <c r="M129" s="99"/>
      <c r="N129" s="99"/>
      <c r="O129" s="96"/>
      <c r="P129" s="96"/>
      <c r="Q129" s="15" t="e">
        <v>#N/A</v>
      </c>
      <c r="R129" s="15" t="e">
        <v>#N/A</v>
      </c>
      <c r="S129" s="15"/>
      <c r="T129" s="100"/>
      <c r="U129" s="15"/>
      <c r="V129" s="15"/>
      <c r="W129" s="15"/>
      <c r="X129" s="96"/>
      <c r="Y129" s="69">
        <f ca="1">Table25[[#This Row],[End Date]]+2-TODAY()</f>
        <v>-45775</v>
      </c>
      <c r="Z129" s="15">
        <f>IF(ISBLANK(Table25[[#This Row],[Roster Received By]]),1,0)</f>
        <v>1</v>
      </c>
      <c r="AA129" s="15">
        <f ca="1">IF(Table25[[#This Row],[Start Date]]&gt;TODAY(),1,)</f>
        <v>0</v>
      </c>
    </row>
    <row r="130" spans="1:27" s="103" customFormat="1" ht="14.25" hidden="1" customHeight="1" x14ac:dyDescent="0.25">
      <c r="A130" s="61"/>
      <c r="B130" s="96"/>
      <c r="C130" s="97" t="e">
        <v>#N/A</v>
      </c>
      <c r="D130" s="97" t="e">
        <v>#N/A</v>
      </c>
      <c r="E130" s="96"/>
      <c r="F130" s="99"/>
      <c r="G130" s="99"/>
      <c r="H130" s="99"/>
      <c r="I130" s="98"/>
      <c r="J130" s="98"/>
      <c r="K130" s="98"/>
      <c r="L130" s="98"/>
      <c r="M130" s="98"/>
      <c r="N130" s="98"/>
      <c r="O130" s="96"/>
      <c r="P130" s="96"/>
      <c r="Q130" s="15" t="e">
        <v>#N/A</v>
      </c>
      <c r="R130" s="15" t="e">
        <v>#N/A</v>
      </c>
      <c r="S130" s="15"/>
      <c r="T130" s="100"/>
      <c r="U130" s="15"/>
      <c r="V130" s="15"/>
      <c r="W130" s="15"/>
      <c r="X130" s="96"/>
      <c r="Y130" s="69">
        <f ca="1">Table25[[#This Row],[End Date]]+2-TODAY()</f>
        <v>-45775</v>
      </c>
      <c r="Z130" s="15">
        <f>IF(ISBLANK(Table25[[#This Row],[Roster Received By]]),1,0)</f>
        <v>1</v>
      </c>
      <c r="AA130" s="15">
        <f ca="1">IF(Table25[[#This Row],[Start Date]]&gt;TODAY(),1,)</f>
        <v>0</v>
      </c>
    </row>
    <row r="131" spans="1:27" s="103" customFormat="1" ht="14.25" hidden="1" customHeight="1" x14ac:dyDescent="0.25">
      <c r="A131" s="61"/>
      <c r="B131" s="96"/>
      <c r="C131" s="97" t="e">
        <v>#N/A</v>
      </c>
      <c r="D131" s="97" t="e">
        <v>#N/A</v>
      </c>
      <c r="E131" s="96"/>
      <c r="F131" s="99"/>
      <c r="G131" s="99"/>
      <c r="H131" s="102"/>
      <c r="I131" s="102"/>
      <c r="J131" s="99"/>
      <c r="K131" s="99"/>
      <c r="L131" s="99"/>
      <c r="M131" s="99"/>
      <c r="N131" s="99"/>
      <c r="O131" s="96"/>
      <c r="P131" s="96"/>
      <c r="Q131" s="15" t="e">
        <v>#N/A</v>
      </c>
      <c r="R131" s="15" t="e">
        <v>#N/A</v>
      </c>
      <c r="S131" s="15"/>
      <c r="T131" s="100"/>
      <c r="U131" s="15"/>
      <c r="V131" s="15"/>
      <c r="W131" s="104"/>
      <c r="X131" s="96"/>
      <c r="Y131" s="69">
        <f ca="1">Table25[[#This Row],[End Date]]+2-TODAY()</f>
        <v>-45775</v>
      </c>
      <c r="Z131" s="15">
        <f>IF(ISBLANK(Table25[[#This Row],[Roster Received By]]),1,0)</f>
        <v>1</v>
      </c>
      <c r="AA131" s="15">
        <f ca="1">IF(Table25[[#This Row],[Start Date]]&gt;TODAY(),1,)</f>
        <v>0</v>
      </c>
    </row>
    <row r="132" spans="1:27" s="103" customFormat="1" ht="14.25" hidden="1" customHeight="1" x14ac:dyDescent="0.25">
      <c r="A132" s="61"/>
      <c r="B132" s="96"/>
      <c r="C132" s="97" t="e">
        <v>#N/A</v>
      </c>
      <c r="D132" s="97" t="e">
        <v>#N/A</v>
      </c>
      <c r="E132" s="96"/>
      <c r="F132" s="99"/>
      <c r="G132" s="99"/>
      <c r="H132" s="99"/>
      <c r="I132" s="98"/>
      <c r="J132" s="98"/>
      <c r="K132" s="98"/>
      <c r="L132" s="98"/>
      <c r="M132" s="98"/>
      <c r="N132" s="98"/>
      <c r="O132" s="96"/>
      <c r="P132" s="96"/>
      <c r="Q132" s="15" t="e">
        <v>#N/A</v>
      </c>
      <c r="R132" s="15" t="e">
        <v>#N/A</v>
      </c>
      <c r="S132" s="15"/>
      <c r="T132" s="100"/>
      <c r="U132" s="15"/>
      <c r="V132" s="15"/>
      <c r="W132" s="15"/>
      <c r="X132" s="96"/>
      <c r="Y132" s="69">
        <f ca="1">Table25[[#This Row],[End Date]]+2-TODAY()</f>
        <v>-45775</v>
      </c>
      <c r="Z132" s="15">
        <f>IF(ISBLANK(Table25[[#This Row],[Roster Received By]]),1,0)</f>
        <v>1</v>
      </c>
      <c r="AA132" s="15">
        <f ca="1">IF(Table25[[#This Row],[Start Date]]&gt;TODAY(),1,)</f>
        <v>0</v>
      </c>
    </row>
    <row r="133" spans="1:27" s="103" customFormat="1" ht="14.25" hidden="1" customHeight="1" x14ac:dyDescent="0.25">
      <c r="A133" s="61"/>
      <c r="B133" s="96"/>
      <c r="C133" s="97" t="e">
        <v>#N/A</v>
      </c>
      <c r="D133" s="97" t="e">
        <v>#N/A</v>
      </c>
      <c r="E133" s="96"/>
      <c r="F133" s="99"/>
      <c r="G133" s="99"/>
      <c r="H133" s="99"/>
      <c r="I133" s="98"/>
      <c r="J133" s="98"/>
      <c r="K133" s="98"/>
      <c r="L133" s="98"/>
      <c r="M133" s="98"/>
      <c r="N133" s="98"/>
      <c r="O133" s="96"/>
      <c r="P133" s="96"/>
      <c r="Q133" s="15" t="e">
        <v>#N/A</v>
      </c>
      <c r="R133" s="15" t="e">
        <v>#N/A</v>
      </c>
      <c r="S133" s="15"/>
      <c r="T133" s="100"/>
      <c r="U133" s="15"/>
      <c r="V133" s="15"/>
      <c r="W133" s="15"/>
      <c r="X133" s="96"/>
      <c r="Y133" s="69">
        <f ca="1">Table25[[#This Row],[End Date]]+2-TODAY()</f>
        <v>-45775</v>
      </c>
      <c r="Z133" s="15">
        <f>IF(ISBLANK(Table25[[#This Row],[Roster Received By]]),1,0)</f>
        <v>1</v>
      </c>
      <c r="AA133" s="15">
        <f ca="1">IF(Table25[[#This Row],[Start Date]]&gt;TODAY(),1,)</f>
        <v>0</v>
      </c>
    </row>
    <row r="134" spans="1:27" s="103" customFormat="1" ht="14.25" hidden="1" customHeight="1" x14ac:dyDescent="0.25">
      <c r="A134" s="61"/>
      <c r="B134" s="96"/>
      <c r="C134" s="97" t="e">
        <v>#N/A</v>
      </c>
      <c r="D134" s="97" t="e">
        <v>#N/A</v>
      </c>
      <c r="E134" s="96"/>
      <c r="F134" s="99"/>
      <c r="G134" s="99"/>
      <c r="H134" s="99"/>
      <c r="I134" s="98"/>
      <c r="J134" s="98"/>
      <c r="K134" s="98"/>
      <c r="L134" s="98"/>
      <c r="M134" s="98"/>
      <c r="N134" s="98"/>
      <c r="O134" s="96"/>
      <c r="P134" s="96"/>
      <c r="Q134" s="15" t="e">
        <v>#N/A</v>
      </c>
      <c r="R134" s="15" t="e">
        <v>#N/A</v>
      </c>
      <c r="S134" s="15"/>
      <c r="T134" s="100"/>
      <c r="U134" s="15"/>
      <c r="V134" s="15"/>
      <c r="W134" s="97"/>
      <c r="X134" s="96"/>
      <c r="Y134" s="69">
        <f ca="1">Table25[[#This Row],[End Date]]+2-TODAY()</f>
        <v>-45775</v>
      </c>
      <c r="Z134" s="15">
        <f>IF(ISBLANK(Table25[[#This Row],[Roster Received By]]),1,0)</f>
        <v>1</v>
      </c>
      <c r="AA134" s="15">
        <f ca="1">IF(Table25[[#This Row],[Start Date]]&gt;TODAY(),1,)</f>
        <v>0</v>
      </c>
    </row>
    <row r="135" spans="1:27" s="103" customFormat="1" ht="14.25" hidden="1" customHeight="1" x14ac:dyDescent="0.25">
      <c r="A135" s="96"/>
      <c r="B135" s="96"/>
      <c r="C135" s="97" t="e">
        <v>#N/A</v>
      </c>
      <c r="D135" s="97" t="e">
        <v>#N/A</v>
      </c>
      <c r="E135" s="96"/>
      <c r="F135" s="99"/>
      <c r="G135" s="99"/>
      <c r="H135" s="105"/>
      <c r="I135" s="105"/>
      <c r="J135" s="99"/>
      <c r="K135" s="99"/>
      <c r="L135" s="99"/>
      <c r="M135" s="99"/>
      <c r="N135" s="99"/>
      <c r="O135" s="96"/>
      <c r="P135" s="96"/>
      <c r="Q135" s="15" t="e">
        <v>#N/A</v>
      </c>
      <c r="R135" s="15" t="e">
        <v>#N/A</v>
      </c>
      <c r="S135" s="15"/>
      <c r="T135" s="100"/>
      <c r="U135" s="15"/>
      <c r="V135" s="15"/>
      <c r="W135" s="97"/>
      <c r="X135" s="96"/>
      <c r="Y135" s="69">
        <f ca="1">Table25[[#This Row],[End Date]]+2-TODAY()</f>
        <v>-45775</v>
      </c>
      <c r="Z135" s="15">
        <f>IF(ISBLANK(Table25[[#This Row],[Roster Received By]]),1,0)</f>
        <v>1</v>
      </c>
      <c r="AA135" s="15">
        <f ca="1">IF(Table25[[#This Row],[Start Date]]&gt;TODAY(),1,)</f>
        <v>0</v>
      </c>
    </row>
    <row r="136" spans="1:27" s="103" customFormat="1" ht="14.25" hidden="1" customHeight="1" x14ac:dyDescent="0.25">
      <c r="A136" s="61"/>
      <c r="B136" s="96"/>
      <c r="C136" s="97" t="e">
        <v>#N/A</v>
      </c>
      <c r="D136" s="97" t="e">
        <v>#N/A</v>
      </c>
      <c r="E136" s="96"/>
      <c r="F136" s="99"/>
      <c r="G136" s="99"/>
      <c r="H136" s="99"/>
      <c r="I136" s="98"/>
      <c r="J136" s="98"/>
      <c r="K136" s="98"/>
      <c r="L136" s="98"/>
      <c r="M136" s="98"/>
      <c r="N136" s="98"/>
      <c r="O136" s="96"/>
      <c r="P136" s="96"/>
      <c r="Q136" s="15" t="e">
        <v>#N/A</v>
      </c>
      <c r="R136" s="15" t="e">
        <v>#N/A</v>
      </c>
      <c r="S136" s="15"/>
      <c r="T136" s="100"/>
      <c r="U136" s="15"/>
      <c r="V136" s="15"/>
      <c r="W136" s="15"/>
      <c r="X136" s="96"/>
      <c r="Y136" s="69">
        <f ca="1">Table25[[#This Row],[End Date]]+2-TODAY()</f>
        <v>-45775</v>
      </c>
      <c r="Z136" s="15">
        <f>IF(ISBLANK(Table25[[#This Row],[Roster Received By]]),1,0)</f>
        <v>1</v>
      </c>
      <c r="AA136" s="15">
        <f ca="1">IF(Table25[[#This Row],[Start Date]]&gt;TODAY(),1,)</f>
        <v>0</v>
      </c>
    </row>
    <row r="137" spans="1:27" s="61" customFormat="1" hidden="1" x14ac:dyDescent="0.25">
      <c r="B137" s="96"/>
      <c r="C137" s="97" t="e">
        <v>#N/A</v>
      </c>
      <c r="D137" s="97" t="e">
        <v>#N/A</v>
      </c>
      <c r="E137" s="96"/>
      <c r="F137" s="99"/>
      <c r="G137" s="99"/>
      <c r="H137" s="99"/>
      <c r="I137" s="98"/>
      <c r="J137" s="98"/>
      <c r="K137" s="98"/>
      <c r="L137" s="98"/>
      <c r="M137" s="98"/>
      <c r="N137" s="98"/>
      <c r="O137" s="96"/>
      <c r="P137" s="96"/>
      <c r="Q137" s="15" t="e">
        <v>#N/A</v>
      </c>
      <c r="R137" s="15" t="e">
        <v>#N/A</v>
      </c>
      <c r="S137" s="15"/>
      <c r="T137" s="100"/>
      <c r="U137" s="15"/>
      <c r="V137" s="15"/>
      <c r="W137" s="100"/>
      <c r="X137" s="96"/>
      <c r="Y137" s="69">
        <f ca="1">Table25[[#This Row],[End Date]]+2-TODAY()</f>
        <v>-45775</v>
      </c>
      <c r="Z137" s="15">
        <f>IF(ISBLANK(Table25[[#This Row],[Roster Received By]]),1,0)</f>
        <v>1</v>
      </c>
      <c r="AA137" s="15">
        <f ca="1">IF(Table25[[#This Row],[Start Date]]&gt;TODAY(),1,)</f>
        <v>0</v>
      </c>
    </row>
    <row r="138" spans="1:27" s="132" customFormat="1" ht="14.25" hidden="1" customHeight="1" x14ac:dyDescent="0.25">
      <c r="A138" s="61"/>
      <c r="B138" s="96"/>
      <c r="C138" s="97" t="e">
        <v>#N/A</v>
      </c>
      <c r="D138" s="97" t="e">
        <v>#N/A</v>
      </c>
      <c r="E138" s="96"/>
      <c r="F138" s="99"/>
      <c r="G138" s="99"/>
      <c r="H138" s="99"/>
      <c r="I138" s="98"/>
      <c r="J138" s="98"/>
      <c r="K138" s="98"/>
      <c r="L138" s="98"/>
      <c r="M138" s="98"/>
      <c r="N138" s="98"/>
      <c r="O138" s="96"/>
      <c r="P138" s="96"/>
      <c r="Q138" s="15" t="e">
        <v>#N/A</v>
      </c>
      <c r="R138" s="15" t="e">
        <v>#N/A</v>
      </c>
      <c r="S138" s="15"/>
      <c r="T138" s="100"/>
      <c r="U138" s="15"/>
      <c r="V138" s="15"/>
      <c r="W138" s="15"/>
      <c r="X138" s="96"/>
      <c r="Y138" s="69">
        <f ca="1">Table25[[#This Row],[End Date]]+2-TODAY()</f>
        <v>-45775</v>
      </c>
      <c r="Z138" s="15">
        <f>IF(ISBLANK(Table25[[#This Row],[Roster Received By]]),1,0)</f>
        <v>1</v>
      </c>
      <c r="AA138" s="15">
        <f ca="1">IF(Table25[[#This Row],[Start Date]]&gt;TODAY(),1,)</f>
        <v>0</v>
      </c>
    </row>
    <row r="139" spans="1:27" s="132" customFormat="1" ht="14.25" hidden="1" customHeight="1" x14ac:dyDescent="0.25">
      <c r="A139" s="61"/>
      <c r="B139" s="96"/>
      <c r="C139" s="97" t="e">
        <v>#N/A</v>
      </c>
      <c r="D139" s="97" t="e">
        <v>#N/A</v>
      </c>
      <c r="E139" s="96"/>
      <c r="F139" s="99"/>
      <c r="G139" s="99"/>
      <c r="H139" s="102"/>
      <c r="I139" s="102"/>
      <c r="J139" s="99"/>
      <c r="K139" s="99"/>
      <c r="L139" s="99"/>
      <c r="M139" s="99"/>
      <c r="N139" s="99"/>
      <c r="O139" s="96"/>
      <c r="P139" s="96"/>
      <c r="Q139" s="15" t="e">
        <v>#N/A</v>
      </c>
      <c r="R139" s="15" t="e">
        <v>#N/A</v>
      </c>
      <c r="S139" s="15"/>
      <c r="T139" s="100"/>
      <c r="U139" s="15"/>
      <c r="V139" s="15"/>
      <c r="W139" s="97"/>
      <c r="X139" s="96"/>
      <c r="Y139" s="69">
        <f ca="1">Table25[[#This Row],[End Date]]+2-TODAY()</f>
        <v>-45775</v>
      </c>
      <c r="Z139" s="15">
        <f>IF(ISBLANK(Table25[[#This Row],[Roster Received By]]),1,0)</f>
        <v>1</v>
      </c>
      <c r="AA139" s="15">
        <f ca="1">IF(Table25[[#This Row],[Start Date]]&gt;TODAY(),1,)</f>
        <v>0</v>
      </c>
    </row>
    <row r="140" spans="1:27" s="132" customFormat="1" ht="16.5" hidden="1" customHeight="1" x14ac:dyDescent="0.25">
      <c r="A140" s="61"/>
      <c r="B140" s="96"/>
      <c r="C140" s="97" t="e">
        <v>#N/A</v>
      </c>
      <c r="D140" s="97" t="e">
        <v>#N/A</v>
      </c>
      <c r="E140" s="96"/>
      <c r="F140" s="99"/>
      <c r="G140" s="99"/>
      <c r="H140" s="99"/>
      <c r="I140" s="98"/>
      <c r="J140" s="98"/>
      <c r="K140" s="98"/>
      <c r="L140" s="98"/>
      <c r="M140" s="98"/>
      <c r="N140" s="98"/>
      <c r="O140" s="96"/>
      <c r="P140" s="96"/>
      <c r="Q140" s="15" t="e">
        <v>#N/A</v>
      </c>
      <c r="R140" s="15" t="e">
        <v>#N/A</v>
      </c>
      <c r="S140" s="15"/>
      <c r="T140" s="100"/>
      <c r="U140" s="15"/>
      <c r="V140" s="15"/>
      <c r="W140" s="15"/>
      <c r="X140" s="96"/>
      <c r="Y140" s="69">
        <f ca="1">Table25[[#This Row],[End Date]]+2-TODAY()</f>
        <v>-45775</v>
      </c>
      <c r="Z140" s="15">
        <f>IF(ISBLANK(Table25[[#This Row],[Roster Received By]]),1,0)</f>
        <v>1</v>
      </c>
      <c r="AA140" s="15">
        <f ca="1">IF(Table25[[#This Row],[Start Date]]&gt;TODAY(),1,)</f>
        <v>0</v>
      </c>
    </row>
    <row r="141" spans="1:27" s="103" customFormat="1" ht="16.5" hidden="1" customHeight="1" x14ac:dyDescent="0.25">
      <c r="A141" s="61"/>
      <c r="B141" s="96"/>
      <c r="C141" s="97" t="e">
        <v>#N/A</v>
      </c>
      <c r="D141" s="97" t="e">
        <v>#N/A</v>
      </c>
      <c r="E141" s="96"/>
      <c r="F141" s="66"/>
      <c r="G141" s="99"/>
      <c r="H141" s="99"/>
      <c r="I141" s="98"/>
      <c r="J141" s="98"/>
      <c r="K141" s="98"/>
      <c r="L141" s="98"/>
      <c r="M141" s="98"/>
      <c r="N141" s="98"/>
      <c r="O141" s="96"/>
      <c r="P141" s="96"/>
      <c r="Q141" s="15" t="e">
        <v>#N/A</v>
      </c>
      <c r="R141" s="15" t="e">
        <v>#N/A</v>
      </c>
      <c r="S141" s="15"/>
      <c r="T141" s="100"/>
      <c r="U141" s="15"/>
      <c r="V141" s="15"/>
      <c r="W141" s="15"/>
      <c r="X141" s="96"/>
      <c r="Y141" s="69">
        <f ca="1">Table25[[#This Row],[End Date]]+2-TODAY()</f>
        <v>-45775</v>
      </c>
      <c r="Z141" s="15">
        <f>IF(ISBLANK(Table25[[#This Row],[Roster Received By]]),1,0)</f>
        <v>1</v>
      </c>
      <c r="AA141" s="15">
        <f ca="1">IF(Table25[[#This Row],[Start Date]]&gt;TODAY(),1,)</f>
        <v>0</v>
      </c>
    </row>
    <row r="142" spans="1:27" s="103" customFormat="1" ht="16.5" hidden="1" customHeight="1" x14ac:dyDescent="0.25">
      <c r="A142" s="96"/>
      <c r="B142" s="96"/>
      <c r="C142" s="97" t="e">
        <v>#N/A</v>
      </c>
      <c r="D142" s="97" t="e">
        <v>#N/A</v>
      </c>
      <c r="E142" s="64"/>
      <c r="F142" s="99"/>
      <c r="G142" s="99"/>
      <c r="H142" s="102"/>
      <c r="I142" s="102"/>
      <c r="J142" s="99"/>
      <c r="K142" s="99"/>
      <c r="L142" s="99"/>
      <c r="M142" s="99"/>
      <c r="N142" s="99"/>
      <c r="O142" s="96"/>
      <c r="P142" s="96"/>
      <c r="Q142" s="15" t="e">
        <v>#N/A</v>
      </c>
      <c r="R142" s="15" t="e">
        <v>#N/A</v>
      </c>
      <c r="S142" s="15"/>
      <c r="T142" s="100"/>
      <c r="U142" s="15"/>
      <c r="V142" s="15"/>
      <c r="W142" s="15"/>
      <c r="X142" s="96"/>
      <c r="Y142" s="69">
        <f ca="1">Table25[[#This Row],[End Date]]+2-TODAY()</f>
        <v>-45775</v>
      </c>
      <c r="Z142" s="15">
        <f>IF(ISBLANK(Table25[[#This Row],[Roster Received By]]),1,0)</f>
        <v>1</v>
      </c>
      <c r="AA142" s="15">
        <f ca="1">IF(Table25[[#This Row],[Start Date]]&gt;TODAY(),1,)</f>
        <v>0</v>
      </c>
    </row>
    <row r="143" spans="1:27" s="103" customFormat="1" ht="14.25" hidden="1" customHeight="1" x14ac:dyDescent="0.25">
      <c r="A143" s="61"/>
      <c r="B143" s="96"/>
      <c r="C143" s="97" t="e">
        <v>#N/A</v>
      </c>
      <c r="D143" s="97" t="e">
        <v>#N/A</v>
      </c>
      <c r="E143" s="96"/>
      <c r="F143" s="99"/>
      <c r="G143" s="99"/>
      <c r="H143" s="99"/>
      <c r="I143" s="98"/>
      <c r="J143" s="98"/>
      <c r="K143" s="98"/>
      <c r="L143" s="98"/>
      <c r="M143" s="98"/>
      <c r="N143" s="98"/>
      <c r="O143" s="96"/>
      <c r="P143" s="96"/>
      <c r="Q143" s="15" t="e">
        <v>#N/A</v>
      </c>
      <c r="R143" s="15" t="e">
        <v>#N/A</v>
      </c>
      <c r="S143" s="15"/>
      <c r="T143" s="100"/>
      <c r="U143" s="15"/>
      <c r="V143" s="15"/>
      <c r="W143" s="15"/>
      <c r="X143" s="96"/>
      <c r="Y143" s="69">
        <f ca="1">Table25[[#This Row],[End Date]]+2-TODAY()</f>
        <v>-45775</v>
      </c>
      <c r="Z143" s="15">
        <f>IF(ISBLANK(Table25[[#This Row],[Roster Received By]]),1,0)</f>
        <v>1</v>
      </c>
      <c r="AA143" s="15">
        <f ca="1">IF(Table25[[#This Row],[Start Date]]&gt;TODAY(),1,)</f>
        <v>0</v>
      </c>
    </row>
    <row r="144" spans="1:27" s="103" customFormat="1" ht="14.25" hidden="1" customHeight="1" x14ac:dyDescent="0.25">
      <c r="A144" s="61"/>
      <c r="B144" s="96"/>
      <c r="C144" s="97" t="e">
        <v>#N/A</v>
      </c>
      <c r="D144" s="97" t="e">
        <v>#N/A</v>
      </c>
      <c r="E144" s="96"/>
      <c r="F144" s="99"/>
      <c r="G144" s="99"/>
      <c r="H144" s="99"/>
      <c r="I144" s="98"/>
      <c r="J144" s="98"/>
      <c r="K144" s="98"/>
      <c r="L144" s="98"/>
      <c r="M144" s="98"/>
      <c r="N144" s="98"/>
      <c r="O144" s="96"/>
      <c r="P144" s="96"/>
      <c r="Q144" s="15" t="e">
        <v>#N/A</v>
      </c>
      <c r="R144" s="15" t="e">
        <v>#N/A</v>
      </c>
      <c r="S144" s="15"/>
      <c r="T144" s="100"/>
      <c r="U144" s="15"/>
      <c r="V144" s="15"/>
      <c r="W144" s="15"/>
      <c r="X144" s="96"/>
      <c r="Y144" s="69">
        <f ca="1">Table25[[#This Row],[End Date]]+2-TODAY()</f>
        <v>-45775</v>
      </c>
      <c r="Z144" s="15">
        <f>IF(ISBLANK(Table25[[#This Row],[Roster Received By]]),1,0)</f>
        <v>1</v>
      </c>
      <c r="AA144" s="15">
        <f ca="1">IF(Table25[[#This Row],[Start Date]]&gt;TODAY(),1,)</f>
        <v>0</v>
      </c>
    </row>
    <row r="145" spans="1:27" s="103" customFormat="1" ht="14.25" hidden="1" customHeight="1" x14ac:dyDescent="0.25">
      <c r="A145" s="61"/>
      <c r="B145" s="96"/>
      <c r="C145" s="97" t="e">
        <v>#N/A</v>
      </c>
      <c r="D145" s="97" t="e">
        <v>#N/A</v>
      </c>
      <c r="E145" s="96"/>
      <c r="F145" s="99"/>
      <c r="G145" s="99"/>
      <c r="H145" s="102"/>
      <c r="I145" s="102"/>
      <c r="J145" s="99"/>
      <c r="K145" s="99"/>
      <c r="L145" s="99"/>
      <c r="M145" s="99"/>
      <c r="N145" s="99"/>
      <c r="O145" s="96"/>
      <c r="P145" s="96"/>
      <c r="Q145" s="15" t="e">
        <v>#N/A</v>
      </c>
      <c r="R145" s="15" t="e">
        <v>#N/A</v>
      </c>
      <c r="S145" s="15"/>
      <c r="T145" s="100"/>
      <c r="U145" s="15"/>
      <c r="V145" s="15"/>
      <c r="W145" s="15"/>
      <c r="X145" s="96"/>
      <c r="Y145" s="69">
        <f ca="1">Table25[[#This Row],[End Date]]+2-TODAY()</f>
        <v>-45775</v>
      </c>
      <c r="Z145" s="15">
        <f>IF(ISBLANK(Table25[[#This Row],[Roster Received By]]),1,0)</f>
        <v>1</v>
      </c>
      <c r="AA145" s="15">
        <f ca="1">IF(Table25[[#This Row],[Start Date]]&gt;TODAY(),1,)</f>
        <v>0</v>
      </c>
    </row>
    <row r="146" spans="1:27" s="103" customFormat="1" ht="14.25" hidden="1" customHeight="1" x14ac:dyDescent="0.25">
      <c r="A146" s="61"/>
      <c r="B146" s="96"/>
      <c r="C146" s="97" t="e">
        <v>#N/A</v>
      </c>
      <c r="D146" s="97" t="e">
        <v>#N/A</v>
      </c>
      <c r="E146" s="96"/>
      <c r="F146" s="99"/>
      <c r="G146" s="99"/>
      <c r="H146" s="99"/>
      <c r="I146" s="98"/>
      <c r="J146" s="98"/>
      <c r="K146" s="98"/>
      <c r="L146" s="98"/>
      <c r="M146" s="98"/>
      <c r="N146" s="98"/>
      <c r="O146" s="96"/>
      <c r="P146" s="96"/>
      <c r="Q146" s="15" t="e">
        <v>#N/A</v>
      </c>
      <c r="R146" s="15" t="e">
        <v>#N/A</v>
      </c>
      <c r="S146" s="15"/>
      <c r="T146" s="100"/>
      <c r="U146" s="15"/>
      <c r="V146" s="15"/>
      <c r="W146" s="15"/>
      <c r="X146" s="96"/>
      <c r="Y146" s="69">
        <f ca="1">Table25[[#This Row],[End Date]]+2-TODAY()</f>
        <v>-45775</v>
      </c>
      <c r="Z146" s="15">
        <f>IF(ISBLANK(Table25[[#This Row],[Roster Received By]]),1,0)</f>
        <v>1</v>
      </c>
      <c r="AA146" s="15">
        <f ca="1">IF(Table25[[#This Row],[Start Date]]&gt;TODAY(),1,)</f>
        <v>0</v>
      </c>
    </row>
    <row r="147" spans="1:27" s="103" customFormat="1" ht="14.25" hidden="1" customHeight="1" x14ac:dyDescent="0.25">
      <c r="A147" s="61"/>
      <c r="B147" s="96"/>
      <c r="C147" s="97" t="e">
        <v>#N/A</v>
      </c>
      <c r="D147" s="97" t="e">
        <v>#N/A</v>
      </c>
      <c r="E147" s="96"/>
      <c r="F147" s="99"/>
      <c r="G147" s="99"/>
      <c r="H147" s="99"/>
      <c r="I147" s="98"/>
      <c r="J147" s="98"/>
      <c r="K147" s="98"/>
      <c r="L147" s="98"/>
      <c r="M147" s="98"/>
      <c r="N147" s="98"/>
      <c r="O147" s="96"/>
      <c r="P147" s="96"/>
      <c r="Q147" s="15" t="e">
        <v>#N/A</v>
      </c>
      <c r="R147" s="15" t="e">
        <v>#N/A</v>
      </c>
      <c r="S147" s="15"/>
      <c r="T147" s="100"/>
      <c r="U147" s="15"/>
      <c r="V147" s="15"/>
      <c r="W147" s="15"/>
      <c r="X147" s="96"/>
      <c r="Y147" s="69">
        <f ca="1">Table25[[#This Row],[End Date]]+2-TODAY()</f>
        <v>-45775</v>
      </c>
      <c r="Z147" s="15">
        <f>IF(ISBLANK(Table25[[#This Row],[Roster Received By]]),1,0)</f>
        <v>1</v>
      </c>
      <c r="AA147" s="15">
        <f ca="1">IF(Table25[[#This Row],[Start Date]]&gt;TODAY(),1,)</f>
        <v>0</v>
      </c>
    </row>
    <row r="148" spans="1:27" s="103" customFormat="1" ht="16.5" hidden="1" customHeight="1" x14ac:dyDescent="0.25">
      <c r="A148" s="61"/>
      <c r="B148" s="96"/>
      <c r="C148" s="97" t="e">
        <v>#N/A</v>
      </c>
      <c r="D148" s="97" t="e">
        <v>#N/A</v>
      </c>
      <c r="E148" s="96"/>
      <c r="F148" s="66"/>
      <c r="G148" s="66"/>
      <c r="H148" s="66"/>
      <c r="I148" s="98"/>
      <c r="J148" s="98"/>
      <c r="K148" s="98"/>
      <c r="L148" s="98"/>
      <c r="M148" s="98"/>
      <c r="N148" s="98"/>
      <c r="O148" s="96"/>
      <c r="P148" s="96"/>
      <c r="Q148" s="15" t="e">
        <v>#N/A</v>
      </c>
      <c r="R148" s="15" t="e">
        <v>#N/A</v>
      </c>
      <c r="S148" s="15"/>
      <c r="T148" s="100"/>
      <c r="U148" s="15"/>
      <c r="V148" s="15"/>
      <c r="W148" s="15"/>
      <c r="X148" s="96"/>
      <c r="Y148" s="69">
        <f ca="1">Table25[[#This Row],[End Date]]+2-TODAY()</f>
        <v>-45775</v>
      </c>
      <c r="Z148" s="15">
        <f>IF(ISBLANK(Table25[[#This Row],[Roster Received By]]),1,0)</f>
        <v>1</v>
      </c>
      <c r="AA148" s="15">
        <f ca="1">IF(Table25[[#This Row],[Start Date]]&gt;TODAY(),1,)</f>
        <v>0</v>
      </c>
    </row>
    <row r="149" spans="1:27" s="103" customFormat="1" ht="14.25" hidden="1" customHeight="1" x14ac:dyDescent="0.25">
      <c r="A149" s="96"/>
      <c r="B149" s="96"/>
      <c r="C149" s="97" t="e">
        <v>#N/A</v>
      </c>
      <c r="D149" s="97" t="e">
        <v>#N/A</v>
      </c>
      <c r="E149" s="96"/>
      <c r="F149" s="99"/>
      <c r="G149" s="99"/>
      <c r="H149" s="99"/>
      <c r="I149" s="98"/>
      <c r="J149" s="98"/>
      <c r="K149" s="98"/>
      <c r="L149" s="98"/>
      <c r="M149" s="98"/>
      <c r="N149" s="98"/>
      <c r="O149" s="96"/>
      <c r="P149" s="96"/>
      <c r="Q149" s="15" t="e">
        <v>#N/A</v>
      </c>
      <c r="R149" s="15" t="e">
        <v>#N/A</v>
      </c>
      <c r="S149" s="15"/>
      <c r="T149" s="100"/>
      <c r="U149" s="15"/>
      <c r="V149" s="15"/>
      <c r="W149" s="15"/>
      <c r="X149" s="96"/>
      <c r="Y149" s="69">
        <f ca="1">Table25[[#This Row],[End Date]]+2-TODAY()</f>
        <v>-45775</v>
      </c>
      <c r="Z149" s="15">
        <f>IF(ISBLANK(Table25[[#This Row],[Roster Received By]]),1,0)</f>
        <v>1</v>
      </c>
      <c r="AA149" s="15">
        <f ca="1">IF(Table25[[#This Row],[Start Date]]&gt;TODAY(),1,)</f>
        <v>0</v>
      </c>
    </row>
    <row r="150" spans="1:27" s="103" customFormat="1" ht="14.25" hidden="1" customHeight="1" x14ac:dyDescent="0.25">
      <c r="A150" s="61"/>
      <c r="B150" s="96"/>
      <c r="C150" s="97" t="e">
        <v>#N/A</v>
      </c>
      <c r="D150" s="97" t="e">
        <v>#N/A</v>
      </c>
      <c r="E150" s="96"/>
      <c r="F150" s="66"/>
      <c r="G150" s="66"/>
      <c r="H150" s="102"/>
      <c r="I150" s="102"/>
      <c r="J150" s="99"/>
      <c r="K150" s="99"/>
      <c r="L150" s="99"/>
      <c r="M150" s="99"/>
      <c r="N150" s="99"/>
      <c r="O150" s="96"/>
      <c r="P150" s="96"/>
      <c r="Q150" s="15" t="e">
        <v>#N/A</v>
      </c>
      <c r="R150" s="15" t="e">
        <v>#N/A</v>
      </c>
      <c r="S150" s="15"/>
      <c r="T150" s="100"/>
      <c r="U150" s="15"/>
      <c r="V150" s="15"/>
      <c r="W150" s="97"/>
      <c r="X150" s="96"/>
      <c r="Y150" s="106">
        <f ca="1">Table25[[#This Row],[End Date]]+2-TODAY()</f>
        <v>-45775</v>
      </c>
      <c r="Z150" s="15">
        <f>IF(ISBLANK(Table25[[#This Row],[Roster Received By]]),1,0)</f>
        <v>1</v>
      </c>
      <c r="AA150" s="97">
        <f ca="1">IF(Table25[[#This Row],[Start Date]]&gt;TODAY(),1,)</f>
        <v>0</v>
      </c>
    </row>
    <row r="151" spans="1:27" s="103" customFormat="1" ht="14.25" hidden="1" customHeight="1" x14ac:dyDescent="0.25">
      <c r="A151" s="61"/>
      <c r="B151" s="96"/>
      <c r="C151" s="97" t="e">
        <v>#N/A</v>
      </c>
      <c r="D151" s="97" t="e">
        <v>#N/A</v>
      </c>
      <c r="E151" s="96"/>
      <c r="F151" s="99"/>
      <c r="G151" s="99"/>
      <c r="H151" s="99"/>
      <c r="I151" s="98"/>
      <c r="J151" s="98"/>
      <c r="K151" s="98"/>
      <c r="L151" s="98"/>
      <c r="M151" s="98"/>
      <c r="N151" s="98"/>
      <c r="O151" s="96"/>
      <c r="P151" s="96"/>
      <c r="Q151" s="15" t="e">
        <v>#N/A</v>
      </c>
      <c r="R151" s="15" t="e">
        <v>#N/A</v>
      </c>
      <c r="S151" s="15"/>
      <c r="T151" s="100"/>
      <c r="U151" s="15"/>
      <c r="V151" s="15"/>
      <c r="W151" s="15"/>
      <c r="X151" s="96"/>
      <c r="Y151" s="69">
        <f ca="1">Table25[[#This Row],[End Date]]+2-TODAY()</f>
        <v>-45775</v>
      </c>
      <c r="Z151" s="15">
        <f>IF(ISBLANK(Table25[[#This Row],[Roster Received By]]),1,0)</f>
        <v>1</v>
      </c>
      <c r="AA151" s="15">
        <f ca="1">IF(Table25[[#This Row],[Start Date]]&gt;TODAY(),1,)</f>
        <v>0</v>
      </c>
    </row>
    <row r="152" spans="1:27" s="103" customFormat="1" ht="14.25" hidden="1" customHeight="1" x14ac:dyDescent="0.25">
      <c r="A152" s="96"/>
      <c r="B152" s="96"/>
      <c r="C152" s="97" t="e">
        <v>#N/A</v>
      </c>
      <c r="D152" s="97" t="e">
        <v>#N/A</v>
      </c>
      <c r="E152" s="64"/>
      <c r="F152" s="99"/>
      <c r="G152" s="99"/>
      <c r="H152" s="102"/>
      <c r="I152" s="102"/>
      <c r="J152" s="99"/>
      <c r="K152" s="99"/>
      <c r="L152" s="99"/>
      <c r="M152" s="99"/>
      <c r="N152" s="99"/>
      <c r="O152" s="96"/>
      <c r="P152" s="96"/>
      <c r="Q152" s="15" t="e">
        <v>#N/A</v>
      </c>
      <c r="R152" s="15" t="e">
        <v>#N/A</v>
      </c>
      <c r="S152" s="15"/>
      <c r="T152" s="100"/>
      <c r="U152" s="15"/>
      <c r="V152" s="15"/>
      <c r="W152" s="15"/>
      <c r="X152" s="96"/>
      <c r="Y152" s="69">
        <f ca="1">Table25[[#This Row],[End Date]]+2-TODAY()</f>
        <v>-45775</v>
      </c>
      <c r="Z152" s="15">
        <f>IF(ISBLANK(Table25[[#This Row],[Roster Received By]]),1,0)</f>
        <v>1</v>
      </c>
      <c r="AA152" s="15">
        <f ca="1">IF(Table25[[#This Row],[Start Date]]&gt;TODAY(),1,)</f>
        <v>0</v>
      </c>
    </row>
    <row r="153" spans="1:27" s="132" customFormat="1" hidden="1" x14ac:dyDescent="0.25">
      <c r="A153" s="61"/>
      <c r="B153" s="96"/>
      <c r="C153" s="97" t="e">
        <v>#N/A</v>
      </c>
      <c r="D153" s="97" t="e">
        <v>#N/A</v>
      </c>
      <c r="E153" s="96"/>
      <c r="F153" s="99"/>
      <c r="G153" s="99"/>
      <c r="H153" s="102"/>
      <c r="I153" s="102"/>
      <c r="J153" s="99"/>
      <c r="K153" s="99"/>
      <c r="L153" s="99"/>
      <c r="M153" s="99"/>
      <c r="N153" s="99"/>
      <c r="O153" s="96"/>
      <c r="P153" s="96"/>
      <c r="Q153" s="15" t="e">
        <v>#N/A</v>
      </c>
      <c r="R153" s="15" t="e">
        <v>#N/A</v>
      </c>
      <c r="S153" s="15"/>
      <c r="T153" s="100"/>
      <c r="U153" s="15"/>
      <c r="V153" s="15"/>
      <c r="W153" s="15"/>
      <c r="X153" s="96"/>
      <c r="Y153" s="69">
        <f ca="1">Table25[[#This Row],[End Date]]+2-TODAY()</f>
        <v>-45775</v>
      </c>
      <c r="Z153" s="15">
        <f>IF(ISBLANK(Table25[[#This Row],[Roster Received By]]),1,0)</f>
        <v>1</v>
      </c>
      <c r="AA153" s="15">
        <f ca="1">IF(Table25[[#This Row],[Start Date]]&gt;TODAY(),1,)</f>
        <v>0</v>
      </c>
    </row>
    <row r="154" spans="1:27" s="103" customFormat="1" ht="14.25" hidden="1" customHeight="1" x14ac:dyDescent="0.25">
      <c r="A154" s="61"/>
      <c r="B154" s="96"/>
      <c r="C154" s="97" t="e">
        <v>#N/A</v>
      </c>
      <c r="D154" s="97" t="e">
        <v>#N/A</v>
      </c>
      <c r="E154" s="96"/>
      <c r="F154" s="99"/>
      <c r="G154" s="99"/>
      <c r="H154" s="102"/>
      <c r="I154" s="102"/>
      <c r="J154" s="99"/>
      <c r="K154" s="99"/>
      <c r="L154" s="99"/>
      <c r="M154" s="99"/>
      <c r="N154" s="99"/>
      <c r="O154" s="96"/>
      <c r="P154" s="96"/>
      <c r="Q154" s="15" t="e">
        <v>#N/A</v>
      </c>
      <c r="R154" s="15" t="e">
        <v>#N/A</v>
      </c>
      <c r="S154" s="15"/>
      <c r="T154" s="100"/>
      <c r="U154" s="15"/>
      <c r="V154" s="15"/>
      <c r="W154" s="15"/>
      <c r="X154" s="96"/>
      <c r="Y154" s="69">
        <f ca="1">Table25[[#This Row],[End Date]]+2-TODAY()</f>
        <v>-45775</v>
      </c>
      <c r="Z154" s="15">
        <f>IF(ISBLANK(Table25[[#This Row],[Roster Received By]]),1,0)</f>
        <v>1</v>
      </c>
      <c r="AA154" s="15">
        <f ca="1">IF(Table25[[#This Row],[Start Date]]&gt;TODAY(),1,)</f>
        <v>0</v>
      </c>
    </row>
    <row r="155" spans="1:27" s="61" customFormat="1" hidden="1" x14ac:dyDescent="0.25">
      <c r="B155" s="96"/>
      <c r="C155" s="97" t="e">
        <v>#N/A</v>
      </c>
      <c r="D155" s="97" t="e">
        <v>#N/A</v>
      </c>
      <c r="E155" s="96"/>
      <c r="F155" s="99"/>
      <c r="G155" s="99"/>
      <c r="H155" s="102"/>
      <c r="I155" s="102"/>
      <c r="J155" s="99"/>
      <c r="K155" s="99"/>
      <c r="L155" s="99"/>
      <c r="M155" s="99"/>
      <c r="N155" s="99"/>
      <c r="O155" s="96"/>
      <c r="P155" s="96"/>
      <c r="Q155" s="15" t="e">
        <v>#N/A</v>
      </c>
      <c r="R155" s="15" t="e">
        <v>#N/A</v>
      </c>
      <c r="S155" s="15"/>
      <c r="T155" s="100"/>
      <c r="U155" s="15"/>
      <c r="V155" s="15"/>
      <c r="W155" s="15"/>
      <c r="X155" s="96"/>
      <c r="Y155" s="69">
        <f ca="1">Table25[[#This Row],[End Date]]+2-TODAY()</f>
        <v>-45775</v>
      </c>
      <c r="Z155" s="15">
        <f>IF(ISBLANK(Table25[[#This Row],[Roster Received By]]),1,0)</f>
        <v>1</v>
      </c>
      <c r="AA155" s="15">
        <f ca="1">IF(Table25[[#This Row],[Start Date]]&gt;TODAY(),1,)</f>
        <v>0</v>
      </c>
    </row>
    <row r="156" spans="1:27" s="61" customFormat="1" hidden="1" x14ac:dyDescent="0.25">
      <c r="A156" s="96"/>
      <c r="B156" s="96"/>
      <c r="C156" s="97" t="e">
        <v>#N/A</v>
      </c>
      <c r="D156" s="97" t="e">
        <v>#N/A</v>
      </c>
      <c r="E156" s="96"/>
      <c r="F156" s="99"/>
      <c r="G156" s="99"/>
      <c r="H156" s="102"/>
      <c r="I156" s="102"/>
      <c r="J156" s="99"/>
      <c r="K156" s="99"/>
      <c r="L156" s="99"/>
      <c r="M156" s="99"/>
      <c r="N156" s="99"/>
      <c r="O156" s="96"/>
      <c r="P156" s="96"/>
      <c r="Q156" s="15" t="e">
        <v>#N/A</v>
      </c>
      <c r="R156" s="15" t="e">
        <v>#N/A</v>
      </c>
      <c r="S156" s="15"/>
      <c r="T156" s="100"/>
      <c r="U156" s="15"/>
      <c r="V156" s="15"/>
      <c r="W156" s="15"/>
      <c r="X156" s="96"/>
      <c r="Y156" s="69">
        <f ca="1">Table25[[#This Row],[End Date]]+2-TODAY()</f>
        <v>-45775</v>
      </c>
      <c r="Z156" s="15">
        <f>IF(ISBLANK(Table25[[#This Row],[Roster Received By]]),1,0)</f>
        <v>1</v>
      </c>
      <c r="AA156" s="15">
        <f ca="1">IF(Table25[[#This Row],[Start Date]]&gt;TODAY(),1,)</f>
        <v>0</v>
      </c>
    </row>
    <row r="157" spans="1:27" s="61" customFormat="1" hidden="1" x14ac:dyDescent="0.25">
      <c r="B157" s="96"/>
      <c r="C157" s="97" t="e">
        <v>#N/A</v>
      </c>
      <c r="D157" s="97" t="e">
        <v>#N/A</v>
      </c>
      <c r="E157" s="96"/>
      <c r="F157" s="99"/>
      <c r="G157" s="99"/>
      <c r="H157" s="99"/>
      <c r="I157" s="98"/>
      <c r="J157" s="98"/>
      <c r="K157" s="98"/>
      <c r="L157" s="98"/>
      <c r="M157" s="98"/>
      <c r="N157" s="98"/>
      <c r="O157" s="96"/>
      <c r="P157" s="96"/>
      <c r="Q157" s="15" t="e">
        <v>#N/A</v>
      </c>
      <c r="R157" s="15" t="e">
        <v>#N/A</v>
      </c>
      <c r="S157" s="15"/>
      <c r="T157" s="100"/>
      <c r="U157" s="15"/>
      <c r="V157" s="15"/>
      <c r="W157" s="15"/>
      <c r="X157" s="96"/>
      <c r="Y157" s="69">
        <f ca="1">Table25[[#This Row],[End Date]]+2-TODAY()</f>
        <v>-45775</v>
      </c>
      <c r="Z157" s="15">
        <f>IF(ISBLANK(Table25[[#This Row],[Roster Received By]]),1,0)</f>
        <v>1</v>
      </c>
      <c r="AA157" s="15">
        <f ca="1">IF(Table25[[#This Row],[Start Date]]&gt;TODAY(),1,)</f>
        <v>0</v>
      </c>
    </row>
    <row r="158" spans="1:27" s="61" customFormat="1" hidden="1" x14ac:dyDescent="0.25">
      <c r="B158" s="96"/>
      <c r="C158" s="97" t="e">
        <v>#N/A</v>
      </c>
      <c r="D158" s="97" t="e">
        <v>#N/A</v>
      </c>
      <c r="E158" s="96"/>
      <c r="F158" s="99"/>
      <c r="G158" s="99"/>
      <c r="H158" s="99"/>
      <c r="I158" s="98"/>
      <c r="J158" s="98"/>
      <c r="K158" s="98"/>
      <c r="L158" s="98"/>
      <c r="M158" s="98"/>
      <c r="N158" s="98"/>
      <c r="O158" s="96"/>
      <c r="P158" s="96"/>
      <c r="Q158" s="15" t="e">
        <v>#N/A</v>
      </c>
      <c r="R158" s="15" t="e">
        <v>#N/A</v>
      </c>
      <c r="S158" s="15"/>
      <c r="T158" s="100"/>
      <c r="U158" s="15"/>
      <c r="V158" s="15"/>
      <c r="W158" s="15"/>
      <c r="X158" s="96"/>
      <c r="Y158" s="69">
        <f ca="1">Table25[[#This Row],[End Date]]+2-TODAY()</f>
        <v>-45775</v>
      </c>
      <c r="Z158" s="15">
        <f>IF(ISBLANK(Table25[[#This Row],[Roster Received By]]),1,0)</f>
        <v>1</v>
      </c>
      <c r="AA158" s="15">
        <f ca="1">IF(Table25[[#This Row],[Start Date]]&gt;TODAY(),1,)</f>
        <v>0</v>
      </c>
    </row>
    <row r="159" spans="1:27" s="61" customFormat="1" hidden="1" x14ac:dyDescent="0.25">
      <c r="A159" s="64"/>
      <c r="B159" s="96"/>
      <c r="C159" s="97" t="e">
        <v>#N/A</v>
      </c>
      <c r="D159" s="97" t="e">
        <v>#N/A</v>
      </c>
      <c r="E159" s="96"/>
      <c r="F159" s="99"/>
      <c r="G159" s="99"/>
      <c r="H159" s="102"/>
      <c r="I159" s="102"/>
      <c r="J159" s="99"/>
      <c r="K159" s="99"/>
      <c r="L159" s="99"/>
      <c r="M159" s="99"/>
      <c r="N159" s="99"/>
      <c r="O159" s="96"/>
      <c r="P159" s="96"/>
      <c r="Q159" s="15" t="e">
        <v>#N/A</v>
      </c>
      <c r="R159" s="15" t="e">
        <v>#N/A</v>
      </c>
      <c r="S159" s="100"/>
      <c r="T159" s="100"/>
      <c r="U159" s="15"/>
      <c r="V159" s="15"/>
      <c r="W159" s="97"/>
      <c r="X159" s="96"/>
      <c r="Y159" s="106">
        <f ca="1">Table25[[#This Row],[End Date]]+2-TODAY()</f>
        <v>-45775</v>
      </c>
      <c r="Z159" s="15">
        <f>IF(ISBLANK(Table25[[#This Row],[Roster Received By]]),1,0)</f>
        <v>1</v>
      </c>
      <c r="AA159" s="97">
        <f ca="1">IF(Table25[[#This Row],[Start Date]]&gt;TODAY(),1,)</f>
        <v>0</v>
      </c>
    </row>
    <row r="160" spans="1:27" s="61" customFormat="1" hidden="1" x14ac:dyDescent="0.25">
      <c r="A160" s="97"/>
      <c r="B160" s="96"/>
      <c r="C160" s="97" t="e">
        <v>#N/A</v>
      </c>
      <c r="D160" s="97" t="e">
        <v>#N/A</v>
      </c>
      <c r="E160" s="96"/>
      <c r="F160" s="99"/>
      <c r="G160" s="99"/>
      <c r="H160" s="105"/>
      <c r="I160" s="105"/>
      <c r="J160" s="99"/>
      <c r="K160" s="99"/>
      <c r="L160" s="99"/>
      <c r="M160" s="99"/>
      <c r="N160" s="99"/>
      <c r="O160" s="96"/>
      <c r="P160" s="96"/>
      <c r="Q160" s="15" t="e">
        <v>#N/A</v>
      </c>
      <c r="R160" s="15" t="e">
        <v>#N/A</v>
      </c>
      <c r="S160" s="104"/>
      <c r="T160" s="100"/>
      <c r="U160" s="15"/>
      <c r="V160" s="15"/>
      <c r="W160" s="15"/>
      <c r="X160" s="96"/>
      <c r="Y160" s="69">
        <f ca="1">Table25[[#This Row],[End Date]]+2-TODAY()</f>
        <v>-45775</v>
      </c>
      <c r="Z160" s="15">
        <f>IF(ISBLANK(Table25[[#This Row],[Roster Received By]]),1,0)</f>
        <v>1</v>
      </c>
      <c r="AA160" s="15">
        <f ca="1">IF(Table25[[#This Row],[Start Date]]&gt;TODAY(),1,)</f>
        <v>0</v>
      </c>
    </row>
    <row r="161" spans="1:27" s="61" customFormat="1" ht="15" hidden="1" customHeight="1" x14ac:dyDescent="0.25">
      <c r="B161" s="96"/>
      <c r="C161" s="97" t="e">
        <v>#N/A</v>
      </c>
      <c r="D161" s="97" t="e">
        <v>#N/A</v>
      </c>
      <c r="E161" s="96"/>
      <c r="F161" s="99"/>
      <c r="G161" s="99"/>
      <c r="H161" s="105"/>
      <c r="I161" s="105"/>
      <c r="J161" s="99"/>
      <c r="K161" s="99"/>
      <c r="L161" s="99"/>
      <c r="M161" s="99"/>
      <c r="N161" s="99"/>
      <c r="O161" s="96"/>
      <c r="P161" s="96"/>
      <c r="Q161" s="15" t="e">
        <v>#N/A</v>
      </c>
      <c r="R161" s="15" t="e">
        <v>#N/A</v>
      </c>
      <c r="S161" s="15"/>
      <c r="T161" s="100"/>
      <c r="U161" s="15"/>
      <c r="V161" s="15"/>
      <c r="W161" s="15"/>
      <c r="X161" s="96"/>
      <c r="Y161" s="69">
        <f ca="1">Table25[[#This Row],[End Date]]+2-TODAY()</f>
        <v>-45775</v>
      </c>
      <c r="Z161" s="15">
        <f>IF(ISBLANK(Table25[[#This Row],[Roster Received By]]),1,0)</f>
        <v>1</v>
      </c>
      <c r="AA161" s="15">
        <f ca="1">IF(Table25[[#This Row],[Start Date]]&gt;TODAY(),1,)</f>
        <v>0</v>
      </c>
    </row>
    <row r="162" spans="1:27" s="61" customFormat="1" hidden="1" x14ac:dyDescent="0.25">
      <c r="B162" s="96"/>
      <c r="C162" s="97" t="e">
        <v>#N/A</v>
      </c>
      <c r="D162" s="97" t="e">
        <v>#N/A</v>
      </c>
      <c r="E162" s="96"/>
      <c r="F162" s="99"/>
      <c r="G162" s="99"/>
      <c r="H162" s="102"/>
      <c r="I162" s="102"/>
      <c r="J162" s="99"/>
      <c r="K162" s="99"/>
      <c r="L162" s="99"/>
      <c r="M162" s="99"/>
      <c r="N162" s="99"/>
      <c r="O162" s="96"/>
      <c r="P162" s="96"/>
      <c r="Q162" s="15" t="e">
        <v>#N/A</v>
      </c>
      <c r="R162" s="15" t="e">
        <v>#N/A</v>
      </c>
      <c r="S162" s="15"/>
      <c r="T162" s="100"/>
      <c r="U162" s="15"/>
      <c r="V162" s="15"/>
      <c r="W162" s="15"/>
      <c r="X162" s="96"/>
      <c r="Y162" s="69">
        <f ca="1">Table25[[#This Row],[End Date]]+2-TODAY()</f>
        <v>-45775</v>
      </c>
      <c r="Z162" s="15">
        <f>IF(ISBLANK(Table25[[#This Row],[Roster Received By]]),1,0)</f>
        <v>1</v>
      </c>
      <c r="AA162" s="15">
        <f ca="1">IF(Table25[[#This Row],[Start Date]]&gt;TODAY(),1,)</f>
        <v>0</v>
      </c>
    </row>
    <row r="163" spans="1:27" s="61" customFormat="1" hidden="1" x14ac:dyDescent="0.25">
      <c r="B163" s="96"/>
      <c r="C163" s="97" t="e">
        <v>#N/A</v>
      </c>
      <c r="D163" s="97" t="e">
        <v>#N/A</v>
      </c>
      <c r="E163" s="96"/>
      <c r="F163" s="99"/>
      <c r="G163" s="99"/>
      <c r="H163" s="102"/>
      <c r="I163" s="102"/>
      <c r="J163" s="99"/>
      <c r="K163" s="99"/>
      <c r="L163" s="99"/>
      <c r="M163" s="99"/>
      <c r="N163" s="99"/>
      <c r="O163" s="96"/>
      <c r="P163" s="96"/>
      <c r="Q163" s="15" t="e">
        <v>#N/A</v>
      </c>
      <c r="R163" s="15" t="e">
        <v>#N/A</v>
      </c>
      <c r="S163" s="100"/>
      <c r="T163" s="100"/>
      <c r="U163" s="15"/>
      <c r="V163" s="15"/>
      <c r="W163" s="15"/>
      <c r="X163" s="96"/>
      <c r="Y163" s="69">
        <f ca="1">Table25[[#This Row],[End Date]]+2-TODAY()</f>
        <v>-45775</v>
      </c>
      <c r="Z163" s="15">
        <f>IF(ISBLANK(Table25[[#This Row],[Roster Received By]]),1,0)</f>
        <v>1</v>
      </c>
      <c r="AA163" s="15">
        <f ca="1">IF(Table25[[#This Row],[Start Date]]&gt;TODAY(),1,)</f>
        <v>0</v>
      </c>
    </row>
    <row r="164" spans="1:27" s="61" customFormat="1" hidden="1" x14ac:dyDescent="0.25">
      <c r="B164" s="96"/>
      <c r="C164" s="97" t="e">
        <v>#N/A</v>
      </c>
      <c r="D164" s="97" t="e">
        <v>#N/A</v>
      </c>
      <c r="E164" s="96"/>
      <c r="F164" s="99"/>
      <c r="G164" s="99"/>
      <c r="H164" s="102"/>
      <c r="I164" s="102"/>
      <c r="J164" s="99"/>
      <c r="K164" s="99"/>
      <c r="L164" s="99"/>
      <c r="M164" s="99"/>
      <c r="N164" s="99"/>
      <c r="O164" s="96"/>
      <c r="P164" s="96"/>
      <c r="Q164" s="15" t="e">
        <v>#N/A</v>
      </c>
      <c r="R164" s="15" t="e">
        <v>#N/A</v>
      </c>
      <c r="S164" s="15"/>
      <c r="T164" s="100"/>
      <c r="U164" s="15"/>
      <c r="V164" s="15"/>
      <c r="W164" s="15"/>
      <c r="X164" s="96"/>
      <c r="Y164" s="69">
        <f ca="1">Table25[[#This Row],[End Date]]+2-TODAY()</f>
        <v>-45775</v>
      </c>
      <c r="Z164" s="15">
        <f>IF(ISBLANK(Table25[[#This Row],[Roster Received By]]),1,0)</f>
        <v>1</v>
      </c>
      <c r="AA164" s="15">
        <f ca="1">IF(Table25[[#This Row],[Start Date]]&gt;TODAY(),1,)</f>
        <v>0</v>
      </c>
    </row>
    <row r="165" spans="1:27" s="61" customFormat="1" hidden="1" x14ac:dyDescent="0.25">
      <c r="B165" s="96"/>
      <c r="C165" s="97" t="e">
        <v>#N/A</v>
      </c>
      <c r="D165" s="97" t="e">
        <v>#N/A</v>
      </c>
      <c r="E165" s="138"/>
      <c r="F165" s="99"/>
      <c r="G165" s="99"/>
      <c r="H165" s="102"/>
      <c r="I165" s="98"/>
      <c r="J165" s="98"/>
      <c r="K165" s="98"/>
      <c r="L165" s="98"/>
      <c r="M165" s="98"/>
      <c r="N165" s="98"/>
      <c r="O165" s="96"/>
      <c r="P165" s="96"/>
      <c r="Q165" s="15" t="e">
        <v>#N/A</v>
      </c>
      <c r="R165" s="15" t="e">
        <v>#N/A</v>
      </c>
      <c r="S165" s="15"/>
      <c r="T165" s="100"/>
      <c r="U165" s="15"/>
      <c r="V165" s="15"/>
      <c r="W165" s="15"/>
      <c r="X165" s="96"/>
      <c r="Y165" s="69">
        <f ca="1">Table25[[#This Row],[End Date]]+2-TODAY()</f>
        <v>-45775</v>
      </c>
      <c r="Z165" s="15">
        <f>IF(ISBLANK(Table25[[#This Row],[Roster Received By]]),1,0)</f>
        <v>1</v>
      </c>
      <c r="AA165" s="15">
        <f ca="1">IF(Table25[[#This Row],[Start Date]]&gt;TODAY(),1,)</f>
        <v>0</v>
      </c>
    </row>
    <row r="166" spans="1:27" s="61" customFormat="1" hidden="1" x14ac:dyDescent="0.25">
      <c r="A166" s="96"/>
      <c r="B166" s="96"/>
      <c r="C166" s="97" t="e">
        <v>#N/A</v>
      </c>
      <c r="D166" s="97" t="e">
        <v>#N/A</v>
      </c>
      <c r="E166" s="64"/>
      <c r="F166" s="66"/>
      <c r="G166" s="66"/>
      <c r="H166" s="102"/>
      <c r="I166" s="102"/>
      <c r="J166" s="99"/>
      <c r="K166" s="99"/>
      <c r="L166" s="99"/>
      <c r="M166" s="99"/>
      <c r="N166" s="99"/>
      <c r="O166" s="96"/>
      <c r="P166" s="96"/>
      <c r="Q166" s="15" t="e">
        <v>#N/A</v>
      </c>
      <c r="R166" s="15" t="e">
        <v>#N/A</v>
      </c>
      <c r="S166" s="15"/>
      <c r="T166" s="100"/>
      <c r="U166" s="15"/>
      <c r="V166" s="15"/>
      <c r="W166" s="15"/>
      <c r="X166" s="96"/>
      <c r="Y166" s="69">
        <f ca="1">Table25[[#This Row],[End Date]]+2-TODAY()</f>
        <v>-45775</v>
      </c>
      <c r="Z166" s="15">
        <f>IF(ISBLANK(Table25[[#This Row],[Roster Received By]]),1,0)</f>
        <v>1</v>
      </c>
      <c r="AA166" s="15">
        <f ca="1">IF(Table25[[#This Row],[Start Date]]&gt;TODAY(),1,)</f>
        <v>0</v>
      </c>
    </row>
    <row r="167" spans="1:27" s="61" customFormat="1" hidden="1" x14ac:dyDescent="0.25">
      <c r="B167" s="96"/>
      <c r="C167" s="97" t="e">
        <v>#N/A</v>
      </c>
      <c r="D167" s="97" t="e">
        <v>#N/A</v>
      </c>
      <c r="E167" s="96"/>
      <c r="F167" s="99"/>
      <c r="G167" s="99"/>
      <c r="H167" s="99"/>
      <c r="I167" s="98"/>
      <c r="J167" s="98"/>
      <c r="K167" s="98"/>
      <c r="L167" s="98"/>
      <c r="M167" s="98"/>
      <c r="N167" s="98"/>
      <c r="O167" s="96"/>
      <c r="P167" s="96"/>
      <c r="Q167" s="15" t="e">
        <v>#N/A</v>
      </c>
      <c r="R167" s="15" t="e">
        <v>#N/A</v>
      </c>
      <c r="S167" s="15"/>
      <c r="T167" s="100"/>
      <c r="U167" s="15"/>
      <c r="V167" s="15"/>
      <c r="W167" s="15"/>
      <c r="X167" s="96"/>
      <c r="Y167" s="69">
        <f ca="1">Table25[[#This Row],[End Date]]+2-TODAY()</f>
        <v>-45775</v>
      </c>
      <c r="Z167" s="15">
        <f>IF(ISBLANK(Table25[[#This Row],[Roster Received By]]),1,0)</f>
        <v>1</v>
      </c>
      <c r="AA167" s="15">
        <f ca="1">IF(Table25[[#This Row],[Start Date]]&gt;TODAY(),1,)</f>
        <v>0</v>
      </c>
    </row>
    <row r="168" spans="1:27" s="61" customFormat="1" hidden="1" x14ac:dyDescent="0.25">
      <c r="B168" s="96"/>
      <c r="C168" s="97" t="e">
        <v>#N/A</v>
      </c>
      <c r="D168" s="97" t="e">
        <v>#N/A</v>
      </c>
      <c r="E168" s="96"/>
      <c r="F168" s="99"/>
      <c r="G168" s="99"/>
      <c r="H168" s="99"/>
      <c r="I168" s="98"/>
      <c r="J168" s="98"/>
      <c r="K168" s="98"/>
      <c r="L168" s="98"/>
      <c r="M168" s="98"/>
      <c r="N168" s="98"/>
      <c r="O168" s="96"/>
      <c r="P168" s="96"/>
      <c r="Q168" s="15" t="e">
        <v>#N/A</v>
      </c>
      <c r="R168" s="15" t="e">
        <v>#N/A</v>
      </c>
      <c r="S168" s="15"/>
      <c r="T168" s="100"/>
      <c r="U168" s="15"/>
      <c r="V168" s="15"/>
      <c r="W168" s="97"/>
      <c r="X168" s="96"/>
      <c r="Y168" s="69">
        <f ca="1">Table25[[#This Row],[End Date]]+2-TODAY()</f>
        <v>-45775</v>
      </c>
      <c r="Z168" s="15">
        <f>IF(ISBLANK(Table25[[#This Row],[Roster Received By]]),1,0)</f>
        <v>1</v>
      </c>
      <c r="AA168" s="15">
        <f ca="1">IF(Table25[[#This Row],[Start Date]]&gt;TODAY(),1,)</f>
        <v>0</v>
      </c>
    </row>
    <row r="169" spans="1:27" s="61" customFormat="1" hidden="1" x14ac:dyDescent="0.25">
      <c r="B169" s="96"/>
      <c r="C169" s="97" t="e">
        <v>#N/A</v>
      </c>
      <c r="D169" s="97" t="e">
        <v>#N/A</v>
      </c>
      <c r="E169" s="96"/>
      <c r="F169" s="107"/>
      <c r="G169" s="107"/>
      <c r="H169" s="102"/>
      <c r="I169" s="98"/>
      <c r="J169" s="98"/>
      <c r="K169" s="98"/>
      <c r="L169" s="98"/>
      <c r="M169" s="98"/>
      <c r="N169" s="98"/>
      <c r="O169" s="96"/>
      <c r="P169" s="96"/>
      <c r="Q169" s="15" t="e">
        <v>#N/A</v>
      </c>
      <c r="R169" s="15" t="e">
        <v>#N/A</v>
      </c>
      <c r="S169" s="100"/>
      <c r="T169" s="100"/>
      <c r="U169" s="15"/>
      <c r="V169" s="15"/>
      <c r="W169" s="97"/>
      <c r="X169" s="96"/>
      <c r="Y169" s="69">
        <f ca="1">Table25[[#This Row],[End Date]]+2-TODAY()</f>
        <v>-45775</v>
      </c>
      <c r="Z169" s="15">
        <f>IF(ISBLANK(Table25[[#This Row],[Roster Received By]]),1,0)</f>
        <v>1</v>
      </c>
      <c r="AA169" s="15">
        <f ca="1">IF(Table25[[#This Row],[Start Date]]&gt;TODAY(),1,)</f>
        <v>0</v>
      </c>
    </row>
    <row r="170" spans="1:27" s="61" customFormat="1" hidden="1" x14ac:dyDescent="0.25">
      <c r="B170" s="96"/>
      <c r="C170" s="97" t="e">
        <v>#N/A</v>
      </c>
      <c r="D170" s="97" t="e">
        <v>#N/A</v>
      </c>
      <c r="E170" s="121"/>
      <c r="F170" s="95"/>
      <c r="G170" s="95"/>
      <c r="H170" s="98"/>
      <c r="I170" s="98"/>
      <c r="J170" s="98"/>
      <c r="K170" s="98"/>
      <c r="L170" s="98"/>
      <c r="M170" s="98"/>
      <c r="N170" s="98"/>
      <c r="O170" s="96"/>
      <c r="P170" s="96"/>
      <c r="Q170" s="15" t="e">
        <v>#N/A</v>
      </c>
      <c r="R170" s="15" t="e">
        <v>#N/A</v>
      </c>
      <c r="S170" s="15"/>
      <c r="T170" s="100"/>
      <c r="U170" s="15"/>
      <c r="V170" s="15"/>
      <c r="W170" s="15"/>
      <c r="X170" s="96"/>
      <c r="Y170" s="69">
        <f ca="1">Table25[[#This Row],[End Date]]+2-TODAY()</f>
        <v>-45775</v>
      </c>
      <c r="Z170" s="15">
        <f>IF(ISBLANK(Table25[[#This Row],[Roster Received By]]),1,0)</f>
        <v>1</v>
      </c>
      <c r="AA170" s="15">
        <f ca="1">IF(Table25[[#This Row],[Start Date]]&gt;TODAY(),1,)</f>
        <v>0</v>
      </c>
    </row>
    <row r="171" spans="1:27" s="61" customFormat="1" hidden="1" x14ac:dyDescent="0.25">
      <c r="B171" s="96"/>
      <c r="C171" s="97" t="e">
        <v>#N/A</v>
      </c>
      <c r="D171" s="97" t="e">
        <v>#N/A</v>
      </c>
      <c r="E171"/>
      <c r="F171" s="107"/>
      <c r="G171" s="107"/>
      <c r="H171" s="102"/>
      <c r="I171" s="102"/>
      <c r="J171" s="99"/>
      <c r="K171" s="99"/>
      <c r="L171" s="99"/>
      <c r="M171" s="99"/>
      <c r="N171" s="99"/>
      <c r="O171" s="96"/>
      <c r="P171" s="96"/>
      <c r="Q171" s="15" t="e">
        <v>#N/A</v>
      </c>
      <c r="R171" s="15" t="e">
        <v>#N/A</v>
      </c>
      <c r="S171" s="15"/>
      <c r="T171" s="100"/>
      <c r="U171" s="15"/>
      <c r="V171" s="15"/>
      <c r="W171" s="15"/>
      <c r="X171" s="96"/>
      <c r="Y171" s="69">
        <f ca="1">Table25[[#This Row],[End Date]]+2-TODAY()</f>
        <v>-45775</v>
      </c>
      <c r="Z171" s="15">
        <f>IF(ISBLANK(Table25[[#This Row],[Roster Received By]]),1,0)</f>
        <v>1</v>
      </c>
      <c r="AA171" s="15">
        <f ca="1">IF(Table25[[#This Row],[Start Date]]&gt;TODAY(),1,)</f>
        <v>0</v>
      </c>
    </row>
    <row r="172" spans="1:27" s="61" customFormat="1" hidden="1" x14ac:dyDescent="0.25">
      <c r="B172" s="96"/>
      <c r="C172" s="97" t="e">
        <v>#N/A</v>
      </c>
      <c r="D172" s="97" t="e">
        <v>#N/A</v>
      </c>
      <c r="E172" s="96"/>
      <c r="F172" s="107"/>
      <c r="G172" s="107"/>
      <c r="H172" s="99"/>
      <c r="I172" s="98"/>
      <c r="J172" s="98"/>
      <c r="K172" s="98"/>
      <c r="L172" s="98"/>
      <c r="M172" s="98"/>
      <c r="N172" s="98"/>
      <c r="O172" s="96"/>
      <c r="P172" s="96"/>
      <c r="Q172" s="15" t="e">
        <v>#N/A</v>
      </c>
      <c r="R172" s="15" t="e">
        <v>#N/A</v>
      </c>
      <c r="S172" s="15"/>
      <c r="T172" s="100"/>
      <c r="U172" s="15"/>
      <c r="V172" s="15"/>
      <c r="W172" s="15"/>
      <c r="X172" s="96"/>
      <c r="Y172" s="69">
        <f ca="1">Table25[[#This Row],[End Date]]+2-TODAY()</f>
        <v>-45775</v>
      </c>
      <c r="Z172" s="15">
        <f>IF(ISBLANK(Table25[[#This Row],[Roster Received By]]),1,0)</f>
        <v>1</v>
      </c>
      <c r="AA172" s="15">
        <f ca="1">IF(Table25[[#This Row],[Start Date]]&gt;TODAY(),1,)</f>
        <v>0</v>
      </c>
    </row>
    <row r="173" spans="1:27" s="61" customFormat="1" hidden="1" x14ac:dyDescent="0.25">
      <c r="B173" s="96"/>
      <c r="C173" s="97" t="e">
        <v>#N/A</v>
      </c>
      <c r="D173" s="97" t="e">
        <v>#N/A</v>
      </c>
      <c r="E173" s="96"/>
      <c r="F173" s="99"/>
      <c r="G173" s="99"/>
      <c r="H173" s="99"/>
      <c r="I173" s="98"/>
      <c r="J173" s="98"/>
      <c r="K173" s="98"/>
      <c r="L173" s="98"/>
      <c r="M173" s="98"/>
      <c r="N173" s="98"/>
      <c r="O173" s="96"/>
      <c r="P173" s="96"/>
      <c r="Q173" s="15" t="e">
        <v>#N/A</v>
      </c>
      <c r="R173" s="15" t="e">
        <v>#N/A</v>
      </c>
      <c r="S173" s="15"/>
      <c r="T173" s="100"/>
      <c r="U173" s="15"/>
      <c r="V173" s="15"/>
      <c r="W173" s="15"/>
      <c r="X173" s="96"/>
      <c r="Y173" s="69">
        <f ca="1">Table25[[#This Row],[End Date]]+2-TODAY()</f>
        <v>-45775</v>
      </c>
      <c r="Z173" s="15">
        <f>IF(ISBLANK(Table25[[#This Row],[Roster Received By]]),1,0)</f>
        <v>1</v>
      </c>
      <c r="AA173" s="15">
        <f ca="1">IF(Table25[[#This Row],[Start Date]]&gt;TODAY(),1,)</f>
        <v>0</v>
      </c>
    </row>
    <row r="174" spans="1:27" s="61" customFormat="1" hidden="1" x14ac:dyDescent="0.25">
      <c r="B174" s="96"/>
      <c r="C174" s="97" t="e">
        <v>#N/A</v>
      </c>
      <c r="D174" s="97" t="e">
        <v>#N/A</v>
      </c>
      <c r="E174" s="96"/>
      <c r="F174" s="107"/>
      <c r="G174" s="107"/>
      <c r="H174" s="99"/>
      <c r="I174" s="98"/>
      <c r="J174" s="98"/>
      <c r="K174" s="98"/>
      <c r="L174" s="98"/>
      <c r="M174" s="98"/>
      <c r="N174" s="98"/>
      <c r="O174" s="96"/>
      <c r="P174" s="96"/>
      <c r="Q174" s="15" t="e">
        <v>#N/A</v>
      </c>
      <c r="R174" s="15" t="e">
        <v>#N/A</v>
      </c>
      <c r="S174" s="15"/>
      <c r="T174" s="100"/>
      <c r="U174" s="15"/>
      <c r="V174" s="15"/>
      <c r="W174" s="15"/>
      <c r="X174" s="96"/>
      <c r="Y174" s="69">
        <f ca="1">Table25[[#This Row],[End Date]]+2-TODAY()</f>
        <v>-45775</v>
      </c>
      <c r="Z174" s="15">
        <f>IF(ISBLANK(Table25[[#This Row],[Roster Received By]]),1,0)</f>
        <v>1</v>
      </c>
      <c r="AA174" s="15">
        <f ca="1">IF(Table25[[#This Row],[Start Date]]&gt;TODAY(),1,)</f>
        <v>0</v>
      </c>
    </row>
    <row r="175" spans="1:27" s="61" customFormat="1" hidden="1" x14ac:dyDescent="0.25">
      <c r="B175" s="96"/>
      <c r="C175" s="97" t="e">
        <v>#N/A</v>
      </c>
      <c r="D175" s="97" t="e">
        <v>#N/A</v>
      </c>
      <c r="E175" s="96"/>
      <c r="F175" s="107"/>
      <c r="G175" s="107"/>
      <c r="H175" s="99"/>
      <c r="I175" s="98"/>
      <c r="J175" s="98"/>
      <c r="K175" s="98"/>
      <c r="L175" s="98"/>
      <c r="M175" s="98"/>
      <c r="N175" s="98"/>
      <c r="O175" s="96"/>
      <c r="P175" s="96"/>
      <c r="Q175" s="15" t="e">
        <v>#N/A</v>
      </c>
      <c r="R175" s="15" t="e">
        <v>#N/A</v>
      </c>
      <c r="S175" s="15"/>
      <c r="T175" s="100"/>
      <c r="U175" s="15"/>
      <c r="V175" s="15"/>
      <c r="W175" s="15"/>
      <c r="X175" s="96"/>
      <c r="Y175" s="69">
        <f ca="1">Table25[[#This Row],[End Date]]+2-TODAY()</f>
        <v>-45775</v>
      </c>
      <c r="Z175" s="15">
        <f>IF(ISBLANK(Table25[[#This Row],[Roster Received By]]),1,0)</f>
        <v>1</v>
      </c>
      <c r="AA175" s="15">
        <f ca="1">IF(Table25[[#This Row],[Start Date]]&gt;TODAY(),1,)</f>
        <v>0</v>
      </c>
    </row>
    <row r="176" spans="1:27" s="61" customFormat="1" hidden="1" x14ac:dyDescent="0.25">
      <c r="B176" s="96"/>
      <c r="C176" s="97" t="e">
        <v>#N/A</v>
      </c>
      <c r="D176" s="97" t="e">
        <v>#N/A</v>
      </c>
      <c r="E176" s="96"/>
      <c r="F176" s="107"/>
      <c r="G176" s="107"/>
      <c r="H176" s="99"/>
      <c r="I176" s="98"/>
      <c r="J176" s="98"/>
      <c r="K176" s="98"/>
      <c r="L176" s="98"/>
      <c r="M176" s="98"/>
      <c r="N176" s="98"/>
      <c r="O176" s="96"/>
      <c r="P176" s="96"/>
      <c r="Q176" s="15" t="e">
        <v>#N/A</v>
      </c>
      <c r="R176" s="15" t="e">
        <v>#N/A</v>
      </c>
      <c r="S176" s="15"/>
      <c r="T176" s="100"/>
      <c r="U176" s="15"/>
      <c r="V176" s="15"/>
      <c r="W176" s="15"/>
      <c r="X176" s="96"/>
      <c r="Y176" s="69">
        <f ca="1">Table25[[#This Row],[End Date]]+2-TODAY()</f>
        <v>-45775</v>
      </c>
      <c r="Z176" s="15">
        <f>IF(ISBLANK(Table25[[#This Row],[Roster Received By]]),1,0)</f>
        <v>1</v>
      </c>
      <c r="AA176" s="15">
        <f ca="1">IF(Table25[[#This Row],[Start Date]]&gt;TODAY(),1,)</f>
        <v>0</v>
      </c>
    </row>
    <row r="177" spans="1:27" s="61" customFormat="1" hidden="1" x14ac:dyDescent="0.25">
      <c r="B177" s="96"/>
      <c r="C177" s="97" t="e">
        <v>#N/A</v>
      </c>
      <c r="D177" s="97" t="e">
        <v>#N/A</v>
      </c>
      <c r="E177" s="96"/>
      <c r="F177" s="107"/>
      <c r="G177" s="107"/>
      <c r="H177" s="99"/>
      <c r="I177" s="98"/>
      <c r="J177" s="98"/>
      <c r="K177" s="98"/>
      <c r="L177" s="98"/>
      <c r="M177" s="98"/>
      <c r="N177" s="98"/>
      <c r="O177" s="96"/>
      <c r="P177" s="96"/>
      <c r="Q177" s="15" t="e">
        <v>#N/A</v>
      </c>
      <c r="R177" s="15" t="e">
        <v>#N/A</v>
      </c>
      <c r="S177" s="15"/>
      <c r="T177" s="100"/>
      <c r="U177" s="15"/>
      <c r="V177" s="15"/>
      <c r="W177" s="97"/>
      <c r="X177" s="96"/>
      <c r="Y177" s="69">
        <f ca="1">Table25[[#This Row],[End Date]]+2-TODAY()</f>
        <v>-45775</v>
      </c>
      <c r="Z177" s="15">
        <f>IF(ISBLANK(Table25[[#This Row],[Roster Received By]]),1,0)</f>
        <v>1</v>
      </c>
      <c r="AA177" s="15">
        <f ca="1">IF(Table25[[#This Row],[Start Date]]&gt;TODAY(),1,)</f>
        <v>0</v>
      </c>
    </row>
    <row r="178" spans="1:27" s="61" customFormat="1" hidden="1" x14ac:dyDescent="0.25">
      <c r="B178" s="96"/>
      <c r="C178" s="97" t="e">
        <v>#N/A</v>
      </c>
      <c r="D178" s="97" t="e">
        <v>#N/A</v>
      </c>
      <c r="E178" s="96"/>
      <c r="F178" s="107"/>
      <c r="G178" s="107"/>
      <c r="H178" s="99"/>
      <c r="I178" s="98"/>
      <c r="J178" s="98"/>
      <c r="K178" s="98"/>
      <c r="L178" s="98"/>
      <c r="M178" s="98"/>
      <c r="N178" s="98"/>
      <c r="O178" s="96"/>
      <c r="P178" s="96"/>
      <c r="Q178" s="15" t="e">
        <v>#N/A</v>
      </c>
      <c r="R178" s="15" t="e">
        <v>#N/A</v>
      </c>
      <c r="S178" s="15"/>
      <c r="T178" s="100"/>
      <c r="U178" s="15"/>
      <c r="V178" s="15"/>
      <c r="W178" s="15"/>
      <c r="X178" s="96"/>
      <c r="Y178" s="69">
        <f ca="1">Table25[[#This Row],[End Date]]+2-TODAY()</f>
        <v>-45775</v>
      </c>
      <c r="Z178" s="15">
        <f>IF(ISBLANK(Table25[[#This Row],[Roster Received By]]),1,0)</f>
        <v>1</v>
      </c>
      <c r="AA178" s="15">
        <f ca="1">IF(Table25[[#This Row],[Start Date]]&gt;TODAY(),1,)</f>
        <v>0</v>
      </c>
    </row>
    <row r="179" spans="1:27" s="61" customFormat="1" hidden="1" x14ac:dyDescent="0.25">
      <c r="B179" s="96"/>
      <c r="C179" s="97" t="e">
        <v>#N/A</v>
      </c>
      <c r="D179" s="97" t="e">
        <v>#N/A</v>
      </c>
      <c r="E179" s="96"/>
      <c r="F179" s="107"/>
      <c r="G179" s="107"/>
      <c r="H179" s="99"/>
      <c r="I179" s="98"/>
      <c r="J179" s="98"/>
      <c r="K179" s="98"/>
      <c r="L179" s="98"/>
      <c r="M179" s="98"/>
      <c r="N179" s="98"/>
      <c r="O179" s="96"/>
      <c r="P179" s="96"/>
      <c r="Q179" s="15" t="e">
        <v>#N/A</v>
      </c>
      <c r="R179" s="15" t="e">
        <v>#N/A</v>
      </c>
      <c r="S179" s="15"/>
      <c r="T179" s="100"/>
      <c r="U179" s="15"/>
      <c r="V179" s="15"/>
      <c r="W179" s="15"/>
      <c r="X179" s="96"/>
      <c r="Y179" s="69">
        <f ca="1">Table25[[#This Row],[End Date]]+2-TODAY()</f>
        <v>-45775</v>
      </c>
      <c r="Z179" s="15">
        <f>IF(ISBLANK(Table25[[#This Row],[Roster Received By]]),1,0)</f>
        <v>1</v>
      </c>
      <c r="AA179" s="15">
        <f ca="1">IF(Table25[[#This Row],[Start Date]]&gt;TODAY(),1,)</f>
        <v>0</v>
      </c>
    </row>
    <row r="180" spans="1:27" s="61" customFormat="1" hidden="1" x14ac:dyDescent="0.25">
      <c r="B180" s="96"/>
      <c r="C180" s="97" t="e">
        <v>#N/A</v>
      </c>
      <c r="D180" s="97" t="e">
        <v>#N/A</v>
      </c>
      <c r="E180" s="96"/>
      <c r="F180" s="107"/>
      <c r="G180" s="107"/>
      <c r="H180" s="102"/>
      <c r="I180" s="102"/>
      <c r="J180" s="102"/>
      <c r="K180" s="102"/>
      <c r="L180" s="102"/>
      <c r="M180" s="102"/>
      <c r="N180" s="99"/>
      <c r="O180" s="96"/>
      <c r="P180" s="96"/>
      <c r="Q180" s="15" t="e">
        <v>#N/A</v>
      </c>
      <c r="R180" s="15" t="e">
        <v>#N/A</v>
      </c>
      <c r="S180" s="15"/>
      <c r="T180" s="100"/>
      <c r="U180" s="15"/>
      <c r="V180" s="15"/>
      <c r="W180" s="15"/>
      <c r="X180" s="96"/>
      <c r="Y180" s="69">
        <f ca="1">Table25[[#This Row],[End Date]]+2-TODAY()</f>
        <v>-45775</v>
      </c>
      <c r="Z180" s="15">
        <f>IF(ISBLANK(Table25[[#This Row],[Roster Received By]]),1,0)</f>
        <v>1</v>
      </c>
      <c r="AA180" s="15">
        <f ca="1">IF(Table25[[#This Row],[Start Date]]&gt;TODAY(),1,)</f>
        <v>0</v>
      </c>
    </row>
    <row r="181" spans="1:27" s="61" customFormat="1" hidden="1" x14ac:dyDescent="0.25">
      <c r="B181" s="96"/>
      <c r="C181" s="97" t="e">
        <v>#N/A</v>
      </c>
      <c r="D181" s="97" t="e">
        <v>#N/A</v>
      </c>
      <c r="E181" s="96"/>
      <c r="F181" s="99"/>
      <c r="G181" s="99"/>
      <c r="H181" s="99"/>
      <c r="I181" s="98"/>
      <c r="J181" s="98"/>
      <c r="K181" s="98"/>
      <c r="L181" s="98"/>
      <c r="M181" s="98"/>
      <c r="N181" s="98"/>
      <c r="O181" s="96"/>
      <c r="P181" s="96"/>
      <c r="Q181" s="15" t="e">
        <v>#N/A</v>
      </c>
      <c r="R181" s="15" t="e">
        <v>#N/A</v>
      </c>
      <c r="S181" s="15"/>
      <c r="T181" s="100"/>
      <c r="U181" s="15"/>
      <c r="V181" s="15"/>
      <c r="W181" s="15"/>
      <c r="X181" s="96"/>
      <c r="Y181" s="69">
        <f ca="1">Table25[[#This Row],[End Date]]+2-TODAY()</f>
        <v>-45775</v>
      </c>
      <c r="Z181" s="15">
        <f>IF(ISBLANK(Table25[[#This Row],[Roster Received By]]),1,0)</f>
        <v>1</v>
      </c>
      <c r="AA181" s="15">
        <f ca="1">IF(Table25[[#This Row],[Start Date]]&gt;TODAY(),1,)</f>
        <v>0</v>
      </c>
    </row>
    <row r="182" spans="1:27" s="16" customFormat="1" ht="14.25" hidden="1" customHeight="1" x14ac:dyDescent="0.25">
      <c r="A182" s="61"/>
      <c r="B182" s="96"/>
      <c r="C182" s="97" t="e">
        <v>#N/A</v>
      </c>
      <c r="D182" s="97" t="e">
        <v>#N/A</v>
      </c>
      <c r="E182" s="96"/>
      <c r="F182" s="99"/>
      <c r="G182" s="99"/>
      <c r="H182" s="102"/>
      <c r="I182" s="102"/>
      <c r="J182" s="99"/>
      <c r="K182" s="99"/>
      <c r="L182" s="99"/>
      <c r="M182" s="99"/>
      <c r="N182" s="99"/>
      <c r="O182" s="96"/>
      <c r="P182" s="96"/>
      <c r="Q182" s="15" t="e">
        <v>#N/A</v>
      </c>
      <c r="R182" s="15" t="e">
        <v>#N/A</v>
      </c>
      <c r="S182" s="15"/>
      <c r="T182" s="100"/>
      <c r="U182" s="15"/>
      <c r="V182" s="15"/>
      <c r="W182" s="15"/>
      <c r="X182" s="96"/>
      <c r="Y182" s="69">
        <f ca="1">Table25[[#This Row],[End Date]]+2-TODAY()</f>
        <v>-45775</v>
      </c>
      <c r="Z182" s="15">
        <f>IF(ISBLANK(Table25[[#This Row],[Roster Received By]]),1,0)</f>
        <v>1</v>
      </c>
      <c r="AA182" s="15">
        <f ca="1">IF(Table25[[#This Row],[Start Date]]&gt;TODAY(),1,)</f>
        <v>0</v>
      </c>
    </row>
    <row r="183" spans="1:27" s="61" customFormat="1" ht="15" hidden="1" customHeight="1" x14ac:dyDescent="0.25">
      <c r="B183" s="96"/>
      <c r="C183" s="97" t="e">
        <v>#N/A</v>
      </c>
      <c r="D183" s="97" t="e">
        <v>#N/A</v>
      </c>
      <c r="E183" s="96"/>
      <c r="F183" s="107"/>
      <c r="G183" s="107"/>
      <c r="H183" s="102"/>
      <c r="I183" s="102"/>
      <c r="J183" s="99"/>
      <c r="K183" s="99"/>
      <c r="L183" s="99"/>
      <c r="M183" s="99"/>
      <c r="N183" s="99"/>
      <c r="O183" s="96"/>
      <c r="P183" s="96"/>
      <c r="Q183" s="15" t="e">
        <v>#N/A</v>
      </c>
      <c r="R183" s="15" t="e">
        <v>#N/A</v>
      </c>
      <c r="S183" s="15"/>
      <c r="T183" s="100"/>
      <c r="U183" s="15"/>
      <c r="V183" s="15"/>
      <c r="W183" s="15"/>
      <c r="X183" s="96"/>
      <c r="Y183" s="69">
        <f ca="1">Table25[[#This Row],[End Date]]+2-TODAY()</f>
        <v>-45775</v>
      </c>
      <c r="Z183" s="15">
        <f>IF(ISBLANK(Table25[[#This Row],[Roster Received By]]),1,0)</f>
        <v>1</v>
      </c>
      <c r="AA183" s="15">
        <f ca="1">IF(Table25[[#This Row],[Start Date]]&gt;TODAY(),1,)</f>
        <v>0</v>
      </c>
    </row>
    <row r="184" spans="1:27" s="61" customFormat="1" hidden="1" x14ac:dyDescent="0.25">
      <c r="B184" s="96"/>
      <c r="C184" s="97" t="e">
        <v>#N/A</v>
      </c>
      <c r="D184" s="97" t="e">
        <v>#N/A</v>
      </c>
      <c r="E184" s="96"/>
      <c r="F184" s="107"/>
      <c r="G184" s="107"/>
      <c r="H184" s="99"/>
      <c r="I184" s="98"/>
      <c r="J184" s="98"/>
      <c r="K184" s="98"/>
      <c r="L184" s="98"/>
      <c r="M184" s="98"/>
      <c r="N184" s="98"/>
      <c r="O184" s="96"/>
      <c r="P184" s="96"/>
      <c r="Q184" s="15" t="e">
        <v>#N/A</v>
      </c>
      <c r="R184" s="15" t="e">
        <v>#N/A</v>
      </c>
      <c r="S184" s="15"/>
      <c r="T184" s="100"/>
      <c r="U184" s="15"/>
      <c r="V184" s="15"/>
      <c r="W184" s="15"/>
      <c r="X184" s="96"/>
      <c r="Y184" s="69">
        <f ca="1">Table25[[#This Row],[End Date]]+2-TODAY()</f>
        <v>-45775</v>
      </c>
      <c r="Z184" s="15">
        <f>IF(ISBLANK(Table25[[#This Row],[Roster Received By]]),1,0)</f>
        <v>1</v>
      </c>
      <c r="AA184" s="15">
        <f ca="1">IF(Table25[[#This Row],[Start Date]]&gt;TODAY(),1,)</f>
        <v>0</v>
      </c>
    </row>
    <row r="185" spans="1:27" s="61" customFormat="1" hidden="1" x14ac:dyDescent="0.25">
      <c r="B185" s="96"/>
      <c r="C185" s="97" t="e">
        <v>#N/A</v>
      </c>
      <c r="D185" s="97" t="e">
        <v>#N/A</v>
      </c>
      <c r="E185" s="96"/>
      <c r="F185" s="99"/>
      <c r="G185" s="99"/>
      <c r="H185" s="102"/>
      <c r="I185" s="102"/>
      <c r="J185" s="99"/>
      <c r="K185" s="99"/>
      <c r="L185" s="99"/>
      <c r="M185" s="99"/>
      <c r="N185" s="99"/>
      <c r="O185" s="96"/>
      <c r="P185" s="96"/>
      <c r="Q185" s="15" t="e">
        <v>#N/A</v>
      </c>
      <c r="R185" s="15" t="e">
        <v>#N/A</v>
      </c>
      <c r="S185" s="100"/>
      <c r="T185" s="100"/>
      <c r="U185" s="15"/>
      <c r="V185" s="15"/>
      <c r="W185" s="15"/>
      <c r="X185" s="96"/>
      <c r="Y185" s="69">
        <f ca="1">Table25[[#This Row],[End Date]]+2-TODAY()</f>
        <v>-45775</v>
      </c>
      <c r="Z185" s="15">
        <f>IF(ISBLANK(Table25[[#This Row],[Roster Received By]]),1,0)</f>
        <v>1</v>
      </c>
      <c r="AA185" s="15">
        <f ca="1">IF(Table25[[#This Row],[Start Date]]&gt;TODAY(),1,)</f>
        <v>0</v>
      </c>
    </row>
    <row r="186" spans="1:27" s="61" customFormat="1" hidden="1" x14ac:dyDescent="0.25">
      <c r="B186" s="96"/>
      <c r="C186" s="97" t="e">
        <v>#N/A</v>
      </c>
      <c r="D186" s="97" t="e">
        <v>#N/A</v>
      </c>
      <c r="E186" s="96"/>
      <c r="F186" s="99"/>
      <c r="G186" s="99"/>
      <c r="H186" s="99"/>
      <c r="I186" s="98"/>
      <c r="J186" s="98"/>
      <c r="K186" s="98"/>
      <c r="L186" s="98"/>
      <c r="M186" s="98"/>
      <c r="N186" s="98"/>
      <c r="O186" s="96"/>
      <c r="P186" s="96"/>
      <c r="Q186" s="15" t="e">
        <v>#N/A</v>
      </c>
      <c r="R186" s="15" t="e">
        <v>#N/A</v>
      </c>
      <c r="S186" s="15"/>
      <c r="T186" s="100"/>
      <c r="U186" s="15"/>
      <c r="V186" s="15"/>
      <c r="W186" s="104"/>
      <c r="X186" s="96"/>
      <c r="Y186" s="69">
        <f ca="1">Table25[[#This Row],[End Date]]+2-TODAY()</f>
        <v>-45775</v>
      </c>
      <c r="Z186" s="15">
        <f>IF(ISBLANK(Table25[[#This Row],[Roster Received By]]),1,0)</f>
        <v>1</v>
      </c>
      <c r="AA186" s="15">
        <f ca="1">IF(Table25[[#This Row],[Start Date]]&gt;TODAY(),1,)</f>
        <v>0</v>
      </c>
    </row>
    <row r="187" spans="1:27" s="61" customFormat="1" hidden="1" x14ac:dyDescent="0.25">
      <c r="B187" s="96"/>
      <c r="C187" s="97" t="e">
        <v>#N/A</v>
      </c>
      <c r="D187" s="97" t="e">
        <v>#N/A</v>
      </c>
      <c r="E187" s="96"/>
      <c r="F187" s="99"/>
      <c r="G187" s="99"/>
      <c r="H187" s="99"/>
      <c r="I187" s="98"/>
      <c r="J187" s="98"/>
      <c r="K187" s="98"/>
      <c r="L187" s="98"/>
      <c r="M187" s="98"/>
      <c r="N187" s="98"/>
      <c r="O187" s="96"/>
      <c r="P187" s="96"/>
      <c r="Q187" s="15" t="e">
        <v>#N/A</v>
      </c>
      <c r="R187" s="15" t="e">
        <v>#N/A</v>
      </c>
      <c r="S187" s="15"/>
      <c r="T187" s="100"/>
      <c r="U187" s="15"/>
      <c r="V187" s="15"/>
      <c r="W187" s="100"/>
      <c r="X187" s="96"/>
      <c r="Y187" s="69">
        <f ca="1">Table25[[#This Row],[End Date]]+2-TODAY()</f>
        <v>-45775</v>
      </c>
      <c r="Z187" s="15">
        <f>IF(ISBLANK(Table25[[#This Row],[Roster Received By]]),1,0)</f>
        <v>1</v>
      </c>
      <c r="AA187" s="15">
        <f ca="1">IF(Table25[[#This Row],[Start Date]]&gt;TODAY(),1,)</f>
        <v>0</v>
      </c>
    </row>
    <row r="188" spans="1:27" s="61" customFormat="1" hidden="1" x14ac:dyDescent="0.25">
      <c r="A188" s="64"/>
      <c r="B188" s="96"/>
      <c r="C188" s="97" t="e">
        <v>#N/A</v>
      </c>
      <c r="D188" s="97" t="e">
        <v>#N/A</v>
      </c>
      <c r="E188" s="96"/>
      <c r="F188" s="99"/>
      <c r="G188" s="99"/>
      <c r="H188" s="105"/>
      <c r="I188" s="105"/>
      <c r="J188" s="99"/>
      <c r="K188" s="99"/>
      <c r="L188" s="99"/>
      <c r="M188" s="99"/>
      <c r="N188" s="99"/>
      <c r="O188" s="96"/>
      <c r="P188" s="96"/>
      <c r="Q188" s="15" t="e">
        <v>#N/A</v>
      </c>
      <c r="R188" s="15" t="e">
        <v>#N/A</v>
      </c>
      <c r="S188" s="15"/>
      <c r="T188" s="100"/>
      <c r="U188" s="15"/>
      <c r="V188" s="15"/>
      <c r="W188" s="15"/>
      <c r="X188" s="96"/>
      <c r="Y188" s="69">
        <f ca="1">Table25[[#This Row],[End Date]]+2-TODAY()</f>
        <v>-45775</v>
      </c>
      <c r="Z188" s="15">
        <f>IF(ISBLANK(Table25[[#This Row],[Roster Received By]]),1,0)</f>
        <v>1</v>
      </c>
      <c r="AA188" s="15">
        <f ca="1">IF(Table25[[#This Row],[Start Date]]&gt;TODAY(),1,)</f>
        <v>0</v>
      </c>
    </row>
    <row r="189" spans="1:27" s="61" customFormat="1" hidden="1" x14ac:dyDescent="0.25">
      <c r="B189" s="96"/>
      <c r="C189" s="97" t="e">
        <v>#N/A</v>
      </c>
      <c r="D189" s="97" t="e">
        <v>#N/A</v>
      </c>
      <c r="E189" s="96"/>
      <c r="F189" s="99"/>
      <c r="G189" s="99"/>
      <c r="H189" s="102"/>
      <c r="I189" s="105"/>
      <c r="J189" s="99"/>
      <c r="K189" s="99"/>
      <c r="L189" s="99"/>
      <c r="M189" s="99"/>
      <c r="N189" s="99"/>
      <c r="O189" s="96"/>
      <c r="P189" s="96"/>
      <c r="Q189" s="15" t="e">
        <v>#N/A</v>
      </c>
      <c r="R189" s="15" t="e">
        <v>#N/A</v>
      </c>
      <c r="S189" s="100"/>
      <c r="T189" s="100"/>
      <c r="U189" s="15"/>
      <c r="V189" s="15"/>
      <c r="W189" s="15"/>
      <c r="X189" s="96"/>
      <c r="Y189" s="69">
        <f ca="1">Table25[[#This Row],[End Date]]+2-TODAY()</f>
        <v>-45775</v>
      </c>
      <c r="Z189" s="15">
        <f>IF(ISBLANK(Table25[[#This Row],[Roster Received By]]),1,0)</f>
        <v>1</v>
      </c>
      <c r="AA189" s="15">
        <f ca="1">IF(Table25[[#This Row],[Start Date]]&gt;TODAY(),1,)</f>
        <v>0</v>
      </c>
    </row>
    <row r="190" spans="1:27" s="61" customFormat="1" hidden="1" x14ac:dyDescent="0.25">
      <c r="B190" s="96"/>
      <c r="C190" s="97" t="e">
        <v>#N/A</v>
      </c>
      <c r="D190" s="97" t="e">
        <v>#N/A</v>
      </c>
      <c r="E190" s="121"/>
      <c r="F190" s="66"/>
      <c r="G190" s="66"/>
      <c r="H190" s="98"/>
      <c r="I190" s="98"/>
      <c r="J190" s="98"/>
      <c r="K190" s="98"/>
      <c r="L190" s="98"/>
      <c r="M190" s="98"/>
      <c r="N190" s="98"/>
      <c r="O190" s="96"/>
      <c r="P190" s="96"/>
      <c r="Q190" s="15" t="e">
        <v>#N/A</v>
      </c>
      <c r="R190" s="15" t="e">
        <v>#N/A</v>
      </c>
      <c r="S190" s="15"/>
      <c r="T190" s="100"/>
      <c r="U190" s="15"/>
      <c r="V190" s="15"/>
      <c r="W190" s="15"/>
      <c r="X190" s="96"/>
      <c r="Y190" s="69">
        <f ca="1">Table25[[#This Row],[End Date]]+2-TODAY()</f>
        <v>-45775</v>
      </c>
      <c r="Z190" s="15">
        <f>IF(ISBLANK(Table25[[#This Row],[Roster Received By]]),1,0)</f>
        <v>1</v>
      </c>
      <c r="AA190" s="15">
        <f ca="1">IF(Table25[[#This Row],[Start Date]]&gt;TODAY(),1,)</f>
        <v>0</v>
      </c>
    </row>
    <row r="191" spans="1:27" s="61" customFormat="1" hidden="1" x14ac:dyDescent="0.25">
      <c r="A191" s="96"/>
      <c r="B191" s="96"/>
      <c r="C191" s="97" t="e">
        <v>#N/A</v>
      </c>
      <c r="D191" s="97" t="e">
        <v>#N/A</v>
      </c>
      <c r="E191" s="96"/>
      <c r="F191" s="99"/>
      <c r="G191" s="99"/>
      <c r="H191" s="102"/>
      <c r="I191" s="102"/>
      <c r="J191" s="99"/>
      <c r="K191" s="99"/>
      <c r="L191" s="99"/>
      <c r="M191" s="99"/>
      <c r="N191" s="99"/>
      <c r="O191" s="96"/>
      <c r="P191" s="96"/>
      <c r="Q191" s="15" t="e">
        <v>#N/A</v>
      </c>
      <c r="R191" s="15" t="e">
        <v>#N/A</v>
      </c>
      <c r="S191" s="15"/>
      <c r="T191" s="100"/>
      <c r="U191" s="15"/>
      <c r="V191" s="15"/>
      <c r="W191" s="15"/>
      <c r="X191" s="96"/>
      <c r="Y191" s="69">
        <f ca="1">Table25[[#This Row],[End Date]]+2-TODAY()</f>
        <v>-45775</v>
      </c>
      <c r="Z191" s="15">
        <f>IF(ISBLANK(Table25[[#This Row],[Roster Received By]]),1,0)</f>
        <v>1</v>
      </c>
      <c r="AA191" s="15">
        <f ca="1">IF(Table25[[#This Row],[Start Date]]&gt;TODAY(),1,)</f>
        <v>0</v>
      </c>
    </row>
    <row r="192" spans="1:27" s="61" customFormat="1" hidden="1" x14ac:dyDescent="0.25">
      <c r="A192" s="97"/>
      <c r="B192" s="96"/>
      <c r="C192" s="97" t="e">
        <v>#N/A</v>
      </c>
      <c r="D192" s="97" t="e">
        <v>#N/A</v>
      </c>
      <c r="E192" s="96"/>
      <c r="F192" s="99"/>
      <c r="G192" s="99"/>
      <c r="H192" s="102"/>
      <c r="I192" s="102"/>
      <c r="J192" s="99"/>
      <c r="K192" s="99"/>
      <c r="L192" s="99"/>
      <c r="M192" s="99"/>
      <c r="N192" s="99"/>
      <c r="O192" s="96"/>
      <c r="P192" s="96"/>
      <c r="Q192" s="15" t="e">
        <v>#N/A</v>
      </c>
      <c r="R192" s="15" t="e">
        <v>#N/A</v>
      </c>
      <c r="S192" s="104"/>
      <c r="T192" s="100"/>
      <c r="U192" s="15"/>
      <c r="V192" s="15"/>
      <c r="W192" s="15"/>
      <c r="X192" s="96"/>
      <c r="Y192" s="69">
        <f ca="1">Table25[[#This Row],[End Date]]+2-TODAY()</f>
        <v>-45775</v>
      </c>
      <c r="Z192" s="15">
        <f>IF(ISBLANK(Table25[[#This Row],[Roster Received By]]),1,0)</f>
        <v>1</v>
      </c>
      <c r="AA192" s="15">
        <f ca="1">IF(Table25[[#This Row],[Start Date]]&gt;TODAY(),1,)</f>
        <v>0</v>
      </c>
    </row>
    <row r="193" spans="1:27" s="61" customFormat="1" hidden="1" x14ac:dyDescent="0.25">
      <c r="B193" s="96"/>
      <c r="C193" s="97" t="e">
        <v>#N/A</v>
      </c>
      <c r="D193" s="97" t="e">
        <v>#N/A</v>
      </c>
      <c r="E193" s="96"/>
      <c r="F193" s="99"/>
      <c r="G193" s="99"/>
      <c r="H193" s="102"/>
      <c r="I193" s="102"/>
      <c r="J193" s="99"/>
      <c r="K193" s="99"/>
      <c r="L193" s="99"/>
      <c r="M193" s="99"/>
      <c r="N193" s="99"/>
      <c r="O193" s="96"/>
      <c r="P193" s="96"/>
      <c r="Q193" s="15" t="e">
        <v>#N/A</v>
      </c>
      <c r="R193" s="15" t="e">
        <v>#N/A</v>
      </c>
      <c r="S193" s="15"/>
      <c r="T193" s="100"/>
      <c r="U193" s="15"/>
      <c r="V193" s="15"/>
      <c r="W193" s="15"/>
      <c r="X193" s="96"/>
      <c r="Y193" s="69">
        <f ca="1">Table25[[#This Row],[End Date]]+2-TODAY()</f>
        <v>-45775</v>
      </c>
      <c r="Z193" s="15">
        <f>IF(ISBLANK(Table25[[#This Row],[Roster Received By]]),1,0)</f>
        <v>1</v>
      </c>
      <c r="AA193" s="15">
        <f ca="1">IF(Table25[[#This Row],[Start Date]]&gt;TODAY(),1,)</f>
        <v>0</v>
      </c>
    </row>
    <row r="194" spans="1:27" s="61" customFormat="1" hidden="1" x14ac:dyDescent="0.25">
      <c r="B194" s="96"/>
      <c r="C194" s="97" t="e">
        <v>#N/A</v>
      </c>
      <c r="D194" s="97" t="e">
        <v>#N/A</v>
      </c>
      <c r="E194" s="96"/>
      <c r="F194" s="99"/>
      <c r="G194" s="99"/>
      <c r="H194" s="99"/>
      <c r="I194" s="98"/>
      <c r="J194" s="98"/>
      <c r="K194" s="98"/>
      <c r="L194" s="98"/>
      <c r="M194" s="98"/>
      <c r="N194" s="98"/>
      <c r="O194" s="96"/>
      <c r="P194" s="96"/>
      <c r="Q194" s="15" t="e">
        <v>#N/A</v>
      </c>
      <c r="R194" s="15" t="e">
        <v>#N/A</v>
      </c>
      <c r="S194" s="15"/>
      <c r="T194" s="100"/>
      <c r="U194" s="15"/>
      <c r="V194" s="15"/>
      <c r="W194" s="15"/>
      <c r="X194" s="96"/>
      <c r="Y194" s="69">
        <f ca="1">Table25[[#This Row],[End Date]]+2-TODAY()</f>
        <v>-45775</v>
      </c>
      <c r="Z194" s="15">
        <f>IF(ISBLANK(Table25[[#This Row],[Roster Received By]]),1,0)</f>
        <v>1</v>
      </c>
      <c r="AA194" s="15">
        <f ca="1">IF(Table25[[#This Row],[Start Date]]&gt;TODAY(),1,)</f>
        <v>0</v>
      </c>
    </row>
    <row r="195" spans="1:27" s="61" customFormat="1" hidden="1" x14ac:dyDescent="0.25">
      <c r="B195" s="64"/>
      <c r="C195" s="97" t="e">
        <v>#N/A</v>
      </c>
      <c r="D195" s="97" t="e">
        <v>#N/A</v>
      </c>
      <c r="E195" s="64"/>
      <c r="F195" s="66"/>
      <c r="G195" s="66"/>
      <c r="H195" s="98"/>
      <c r="I195" s="98"/>
      <c r="J195" s="99"/>
      <c r="K195" s="99"/>
      <c r="L195" s="99"/>
      <c r="M195" s="99"/>
      <c r="N195" s="99"/>
      <c r="O195" s="96"/>
      <c r="P195" s="96"/>
      <c r="Q195" s="15" t="e">
        <v>#N/A</v>
      </c>
      <c r="R195" s="15" t="e">
        <v>#N/A</v>
      </c>
      <c r="S195" s="15"/>
      <c r="T195" s="100"/>
      <c r="U195" s="15"/>
      <c r="V195" s="15"/>
      <c r="W195" s="15"/>
      <c r="X195" s="96"/>
      <c r="Y195" s="69">
        <f ca="1">Table25[[#This Row],[End Date]]+2-TODAY()</f>
        <v>-45775</v>
      </c>
      <c r="Z195" s="15">
        <f>IF(ISBLANK(Table25[[#This Row],[Roster Received By]]),1,0)</f>
        <v>1</v>
      </c>
      <c r="AA195" s="15">
        <f ca="1">IF(Table25[[#This Row],[Start Date]]&gt;TODAY(),1,)</f>
        <v>0</v>
      </c>
    </row>
    <row r="196" spans="1:27" s="61" customFormat="1" hidden="1" x14ac:dyDescent="0.25">
      <c r="B196" s="96"/>
      <c r="C196" s="97" t="e">
        <v>#N/A</v>
      </c>
      <c r="D196" s="97" t="e">
        <v>#N/A</v>
      </c>
      <c r="E196" s="96"/>
      <c r="F196" s="99"/>
      <c r="G196" s="99"/>
      <c r="H196" s="99"/>
      <c r="I196" s="98"/>
      <c r="J196" s="98"/>
      <c r="K196" s="98"/>
      <c r="L196" s="98"/>
      <c r="M196" s="98"/>
      <c r="N196" s="98"/>
      <c r="O196" s="96"/>
      <c r="P196" s="96"/>
      <c r="Q196" s="15" t="e">
        <v>#N/A</v>
      </c>
      <c r="R196" s="15" t="e">
        <v>#N/A</v>
      </c>
      <c r="S196" s="15"/>
      <c r="T196" s="100"/>
      <c r="U196" s="15"/>
      <c r="V196" s="15"/>
      <c r="W196" s="15"/>
      <c r="X196" s="96"/>
      <c r="Y196" s="69">
        <f ca="1">Table25[[#This Row],[End Date]]+2-TODAY()</f>
        <v>-45775</v>
      </c>
      <c r="Z196" s="15">
        <f>IF(ISBLANK(Table25[[#This Row],[Roster Received By]]),1,0)</f>
        <v>1</v>
      </c>
      <c r="AA196" s="15">
        <f ca="1">IF(Table25[[#This Row],[Start Date]]&gt;TODAY(),1,)</f>
        <v>0</v>
      </c>
    </row>
    <row r="197" spans="1:27" s="61" customFormat="1" hidden="1" x14ac:dyDescent="0.25">
      <c r="B197" s="96"/>
      <c r="C197" s="97" t="e">
        <v>#N/A</v>
      </c>
      <c r="D197" s="97" t="e">
        <v>#N/A</v>
      </c>
      <c r="E197" s="96"/>
      <c r="F197" s="99"/>
      <c r="G197" s="99"/>
      <c r="H197" s="99"/>
      <c r="I197" s="98"/>
      <c r="J197" s="98"/>
      <c r="K197" s="98"/>
      <c r="L197" s="98"/>
      <c r="M197" s="98"/>
      <c r="N197" s="98"/>
      <c r="O197" s="96"/>
      <c r="P197" s="96"/>
      <c r="Q197" s="15" t="e">
        <v>#N/A</v>
      </c>
      <c r="R197" s="15" t="e">
        <v>#N/A</v>
      </c>
      <c r="S197" s="15"/>
      <c r="T197" s="100"/>
      <c r="U197" s="15"/>
      <c r="V197" s="15"/>
      <c r="W197" s="15"/>
      <c r="X197" s="96"/>
      <c r="Y197" s="69">
        <f ca="1">Table25[[#This Row],[End Date]]+2-TODAY()</f>
        <v>-45775</v>
      </c>
      <c r="Z197" s="15">
        <f>IF(ISBLANK(Table25[[#This Row],[Roster Received By]]),1,0)</f>
        <v>1</v>
      </c>
      <c r="AA197" s="15">
        <f ca="1">IF(Table25[[#This Row],[Start Date]]&gt;TODAY(),1,)</f>
        <v>0</v>
      </c>
    </row>
    <row r="198" spans="1:27" s="61" customFormat="1" hidden="1" x14ac:dyDescent="0.25">
      <c r="B198" s="96"/>
      <c r="C198" s="97" t="e">
        <v>#N/A</v>
      </c>
      <c r="D198" s="97" t="e">
        <v>#N/A</v>
      </c>
      <c r="E198" s="96"/>
      <c r="F198" s="99"/>
      <c r="G198" s="99"/>
      <c r="H198" s="99"/>
      <c r="I198" s="98"/>
      <c r="J198" s="98"/>
      <c r="K198" s="98"/>
      <c r="L198" s="98"/>
      <c r="M198" s="98"/>
      <c r="N198" s="98"/>
      <c r="O198" s="96"/>
      <c r="P198" s="96"/>
      <c r="Q198" s="15" t="e">
        <v>#N/A</v>
      </c>
      <c r="R198" s="15" t="e">
        <v>#N/A</v>
      </c>
      <c r="S198" s="15"/>
      <c r="T198" s="100"/>
      <c r="U198" s="15"/>
      <c r="V198" s="15"/>
      <c r="W198" s="15"/>
      <c r="X198" s="96"/>
      <c r="Y198" s="69">
        <f ca="1">Table25[[#This Row],[End Date]]+2-TODAY()</f>
        <v>-45775</v>
      </c>
      <c r="Z198" s="15">
        <f>IF(ISBLANK(Table25[[#This Row],[Roster Received By]]),1,0)</f>
        <v>1</v>
      </c>
      <c r="AA198" s="15">
        <f ca="1">IF(Table25[[#This Row],[Start Date]]&gt;TODAY(),1,)</f>
        <v>0</v>
      </c>
    </row>
    <row r="199" spans="1:27" s="61" customFormat="1" hidden="1" x14ac:dyDescent="0.25">
      <c r="A199" s="96"/>
      <c r="B199" s="96"/>
      <c r="C199" s="97" t="e">
        <v>#N/A</v>
      </c>
      <c r="D199" s="97" t="e">
        <v>#N/A</v>
      </c>
      <c r="E199" s="64"/>
      <c r="F199" s="99"/>
      <c r="G199" s="99"/>
      <c r="H199" s="102"/>
      <c r="I199" s="102"/>
      <c r="J199" s="99"/>
      <c r="K199" s="99"/>
      <c r="L199" s="99"/>
      <c r="M199" s="99"/>
      <c r="N199" s="99"/>
      <c r="O199" s="96"/>
      <c r="P199" s="96"/>
      <c r="Q199" s="15" t="e">
        <v>#N/A</v>
      </c>
      <c r="R199" s="15" t="e">
        <v>#N/A</v>
      </c>
      <c r="S199" s="15"/>
      <c r="T199" s="100"/>
      <c r="U199" s="15"/>
      <c r="V199" s="15"/>
      <c r="W199" s="15"/>
      <c r="X199" s="96"/>
      <c r="Y199" s="69">
        <f ca="1">Table25[[#This Row],[End Date]]+2-TODAY()</f>
        <v>-45775</v>
      </c>
      <c r="Z199" s="15">
        <f>IF(ISBLANK(Table25[[#This Row],[Roster Received By]]),1,0)</f>
        <v>1</v>
      </c>
      <c r="AA199" s="15">
        <f ca="1">IF(Table25[[#This Row],[Start Date]]&gt;TODAY(),1,)</f>
        <v>0</v>
      </c>
    </row>
    <row r="200" spans="1:27" s="61" customFormat="1" hidden="1" x14ac:dyDescent="0.25">
      <c r="B200" s="96"/>
      <c r="C200" s="97" t="e">
        <v>#N/A</v>
      </c>
      <c r="D200" s="97" t="e">
        <v>#N/A</v>
      </c>
      <c r="E200" s="96"/>
      <c r="F200" s="107"/>
      <c r="G200" s="107"/>
      <c r="H200" s="99"/>
      <c r="I200" s="98"/>
      <c r="J200" s="98"/>
      <c r="K200" s="98"/>
      <c r="L200" s="98"/>
      <c r="M200" s="98"/>
      <c r="N200" s="98"/>
      <c r="O200" s="96"/>
      <c r="P200" s="96"/>
      <c r="Q200" s="15" t="e">
        <v>#N/A</v>
      </c>
      <c r="R200" s="15" t="e">
        <v>#N/A</v>
      </c>
      <c r="S200" s="15"/>
      <c r="T200" s="100"/>
      <c r="U200" s="15"/>
      <c r="V200" s="15"/>
      <c r="W200" s="15"/>
      <c r="X200" s="96"/>
      <c r="Y200" s="69">
        <f ca="1">Table25[[#This Row],[End Date]]+2-TODAY()</f>
        <v>-45775</v>
      </c>
      <c r="Z200" s="15">
        <f>IF(ISBLANK(Table25[[#This Row],[Roster Received By]]),1,0)</f>
        <v>1</v>
      </c>
      <c r="AA200" s="15">
        <f ca="1">IF(Table25[[#This Row],[Start Date]]&gt;TODAY(),1,)</f>
        <v>0</v>
      </c>
    </row>
    <row r="201" spans="1:27" s="61" customFormat="1" hidden="1" x14ac:dyDescent="0.25">
      <c r="B201" s="96"/>
      <c r="C201" s="97" t="e">
        <v>#N/A</v>
      </c>
      <c r="D201" s="97" t="e">
        <v>#N/A</v>
      </c>
      <c r="E201" s="64"/>
      <c r="F201" s="66"/>
      <c r="G201" s="66"/>
      <c r="H201" s="98"/>
      <c r="I201" s="98"/>
      <c r="J201" s="99"/>
      <c r="K201" s="99"/>
      <c r="L201" s="99"/>
      <c r="M201" s="99"/>
      <c r="N201" s="99"/>
      <c r="O201" s="96"/>
      <c r="P201" s="96"/>
      <c r="Q201" s="15" t="e">
        <v>#N/A</v>
      </c>
      <c r="R201" s="15" t="e">
        <v>#N/A</v>
      </c>
      <c r="S201" s="15"/>
      <c r="T201" s="100"/>
      <c r="U201" s="15"/>
      <c r="V201" s="15"/>
      <c r="W201" s="15"/>
      <c r="X201" s="96"/>
      <c r="Y201" s="69">
        <f ca="1">Table25[[#This Row],[End Date]]+2-TODAY()</f>
        <v>-45775</v>
      </c>
      <c r="Z201" s="15">
        <f>IF(ISBLANK(Table25[[#This Row],[Roster Received By]]),1,0)</f>
        <v>1</v>
      </c>
      <c r="AA201" s="15">
        <f ca="1">IF(Table25[[#This Row],[Start Date]]&gt;TODAY(),1,)</f>
        <v>0</v>
      </c>
    </row>
    <row r="202" spans="1:27" s="61" customFormat="1" hidden="1" x14ac:dyDescent="0.25">
      <c r="B202" s="96"/>
      <c r="C202" s="97" t="e">
        <v>#N/A</v>
      </c>
      <c r="D202" s="97" t="e">
        <v>#N/A</v>
      </c>
      <c r="E202" s="96"/>
      <c r="F202" s="66"/>
      <c r="G202" s="99"/>
      <c r="H202" s="99"/>
      <c r="I202" s="98"/>
      <c r="J202" s="98"/>
      <c r="K202" s="98"/>
      <c r="L202" s="98"/>
      <c r="M202" s="98"/>
      <c r="N202" s="98"/>
      <c r="O202" s="96"/>
      <c r="P202" s="96"/>
      <c r="Q202" s="15" t="e">
        <v>#N/A</v>
      </c>
      <c r="R202" s="15" t="e">
        <v>#N/A</v>
      </c>
      <c r="S202" s="15"/>
      <c r="T202" s="100"/>
      <c r="U202" s="15"/>
      <c r="V202" s="15"/>
      <c r="W202" s="15"/>
      <c r="X202" s="96"/>
      <c r="Y202" s="69">
        <f ca="1">Table25[[#This Row],[End Date]]+2-TODAY()</f>
        <v>-45775</v>
      </c>
      <c r="Z202" s="15">
        <f>IF(ISBLANK(Table25[[#This Row],[Roster Received By]]),1,0)</f>
        <v>1</v>
      </c>
      <c r="AA202" s="15">
        <f ca="1">IF(Table25[[#This Row],[Start Date]]&gt;TODAY(),1,)</f>
        <v>0</v>
      </c>
    </row>
    <row r="203" spans="1:27" s="61" customFormat="1" hidden="1" x14ac:dyDescent="0.25">
      <c r="B203" s="96"/>
      <c r="C203" s="97" t="e">
        <v>#N/A</v>
      </c>
      <c r="D203" s="97" t="e">
        <v>#N/A</v>
      </c>
      <c r="E203" s="96"/>
      <c r="F203" s="99"/>
      <c r="G203" s="99"/>
      <c r="H203" s="102"/>
      <c r="I203" s="102"/>
      <c r="J203" s="99"/>
      <c r="K203" s="99"/>
      <c r="L203" s="99"/>
      <c r="M203" s="99"/>
      <c r="N203" s="99"/>
      <c r="O203" s="96"/>
      <c r="P203" s="96"/>
      <c r="Q203" s="15" t="e">
        <v>#N/A</v>
      </c>
      <c r="R203" s="15" t="e">
        <v>#N/A</v>
      </c>
      <c r="S203" s="15"/>
      <c r="T203" s="100"/>
      <c r="U203" s="15"/>
      <c r="V203" s="15"/>
      <c r="W203" s="15"/>
      <c r="X203" s="96"/>
      <c r="Y203" s="69">
        <f ca="1">Table25[[#This Row],[End Date]]+2-TODAY()</f>
        <v>-45775</v>
      </c>
      <c r="Z203" s="15">
        <f>IF(ISBLANK(Table25[[#This Row],[Roster Received By]]),1,0)</f>
        <v>1</v>
      </c>
      <c r="AA203" s="15">
        <f ca="1">IF(Table25[[#This Row],[Start Date]]&gt;TODAY(),1,)</f>
        <v>0</v>
      </c>
    </row>
    <row r="204" spans="1:27" s="61" customFormat="1" hidden="1" x14ac:dyDescent="0.25">
      <c r="B204" s="96"/>
      <c r="C204" s="97" t="e">
        <v>#N/A</v>
      </c>
      <c r="D204" s="97" t="e">
        <v>#N/A</v>
      </c>
      <c r="E204" s="64"/>
      <c r="F204" s="66"/>
      <c r="G204" s="99"/>
      <c r="H204" s="102"/>
      <c r="I204" s="102"/>
      <c r="J204" s="99"/>
      <c r="K204" s="99"/>
      <c r="L204" s="99"/>
      <c r="M204" s="99"/>
      <c r="N204" s="99"/>
      <c r="O204" s="96"/>
      <c r="P204" s="96"/>
      <c r="Q204" s="15" t="e">
        <v>#N/A</v>
      </c>
      <c r="R204" s="15" t="e">
        <v>#N/A</v>
      </c>
      <c r="S204" s="15"/>
      <c r="T204" s="100"/>
      <c r="U204" s="15"/>
      <c r="V204" s="15"/>
      <c r="W204" s="15"/>
      <c r="X204" s="96"/>
      <c r="Y204" s="69">
        <f ca="1">Table25[[#This Row],[End Date]]+2-TODAY()</f>
        <v>-45775</v>
      </c>
      <c r="Z204" s="15">
        <f>IF(ISBLANK(Table25[[#This Row],[Roster Received By]]),1,0)</f>
        <v>1</v>
      </c>
      <c r="AA204" s="15">
        <f ca="1">IF(Table25[[#This Row],[Start Date]]&gt;TODAY(),1,)</f>
        <v>0</v>
      </c>
    </row>
    <row r="205" spans="1:27" s="61" customFormat="1" hidden="1" x14ac:dyDescent="0.25">
      <c r="B205" s="96"/>
      <c r="C205" s="97" t="e">
        <v>#N/A</v>
      </c>
      <c r="D205" s="97" t="e">
        <v>#N/A</v>
      </c>
      <c r="E205" s="96"/>
      <c r="F205" s="66"/>
      <c r="G205" s="66"/>
      <c r="H205" s="66"/>
      <c r="I205" s="98"/>
      <c r="J205" s="98"/>
      <c r="K205" s="98"/>
      <c r="L205" s="98"/>
      <c r="M205" s="98"/>
      <c r="N205" s="98"/>
      <c r="O205" s="96"/>
      <c r="P205" s="96"/>
      <c r="Q205" s="15" t="e">
        <v>#N/A</v>
      </c>
      <c r="R205" s="15" t="e">
        <v>#N/A</v>
      </c>
      <c r="S205" s="15"/>
      <c r="T205" s="100"/>
      <c r="U205" s="15"/>
      <c r="V205" s="15"/>
      <c r="W205" s="15"/>
      <c r="X205" s="96"/>
      <c r="Y205" s="69">
        <f ca="1">Table25[[#This Row],[End Date]]+2-TODAY()</f>
        <v>-45775</v>
      </c>
      <c r="Z205" s="15">
        <f>IF(ISBLANK(Table25[[#This Row],[Roster Received By]]),1,0)</f>
        <v>1</v>
      </c>
      <c r="AA205" s="15">
        <f ca="1">IF(Table25[[#This Row],[Start Date]]&gt;TODAY(),1,)</f>
        <v>0</v>
      </c>
    </row>
    <row r="206" spans="1:27" s="61" customFormat="1" hidden="1" x14ac:dyDescent="0.25">
      <c r="B206" s="96"/>
      <c r="C206" s="97" t="e">
        <v>#N/A</v>
      </c>
      <c r="D206" s="97" t="e">
        <v>#N/A</v>
      </c>
      <c r="E206" s="96"/>
      <c r="F206" s="99"/>
      <c r="G206" s="99"/>
      <c r="H206" s="102"/>
      <c r="I206" s="102"/>
      <c r="J206" s="102"/>
      <c r="K206" s="102"/>
      <c r="L206" s="102"/>
      <c r="M206" s="102"/>
      <c r="N206" s="102"/>
      <c r="O206" s="96"/>
      <c r="P206" s="96"/>
      <c r="Q206" s="15" t="e">
        <v>#N/A</v>
      </c>
      <c r="R206" s="15" t="e">
        <v>#N/A</v>
      </c>
      <c r="S206" s="15"/>
      <c r="T206" s="100"/>
      <c r="U206" s="15"/>
      <c r="V206" s="15"/>
      <c r="W206" s="15"/>
      <c r="X206" s="96"/>
      <c r="Y206" s="69">
        <f ca="1">Table25[[#This Row],[End Date]]+2-TODAY()</f>
        <v>-45775</v>
      </c>
      <c r="Z206" s="15">
        <f>IF(ISBLANK(Table25[[#This Row],[Roster Received By]]),1,0)</f>
        <v>1</v>
      </c>
      <c r="AA206" s="15">
        <f ca="1">IF(Table25[[#This Row],[Start Date]]&gt;TODAY(),1,)</f>
        <v>0</v>
      </c>
    </row>
    <row r="207" spans="1:27" s="61" customFormat="1" hidden="1" x14ac:dyDescent="0.25">
      <c r="B207" s="96"/>
      <c r="C207" s="97" t="e">
        <v>#N/A</v>
      </c>
      <c r="D207" s="97" t="e">
        <v>#N/A</v>
      </c>
      <c r="E207" s="96"/>
      <c r="F207" s="99"/>
      <c r="G207" s="99"/>
      <c r="H207" s="102"/>
      <c r="I207" s="102"/>
      <c r="J207" s="99"/>
      <c r="K207" s="99"/>
      <c r="L207" s="99"/>
      <c r="M207" s="99"/>
      <c r="N207" s="99"/>
      <c r="O207" s="96"/>
      <c r="P207" s="96"/>
      <c r="Q207" s="15" t="e">
        <v>#N/A</v>
      </c>
      <c r="R207" s="15" t="e">
        <v>#N/A</v>
      </c>
      <c r="S207" s="15"/>
      <c r="T207" s="100"/>
      <c r="U207" s="15"/>
      <c r="V207" s="15"/>
      <c r="W207" s="15"/>
      <c r="X207" s="96"/>
      <c r="Y207" s="69">
        <f ca="1">Table25[[#This Row],[End Date]]+2-TODAY()</f>
        <v>-45775</v>
      </c>
      <c r="Z207" s="15">
        <f>IF(ISBLANK(Table25[[#This Row],[Roster Received By]]),1,0)</f>
        <v>1</v>
      </c>
      <c r="AA207" s="15">
        <f ca="1">IF(Table25[[#This Row],[Start Date]]&gt;TODAY(),1,)</f>
        <v>0</v>
      </c>
    </row>
    <row r="208" spans="1:27" s="61" customFormat="1" hidden="1" x14ac:dyDescent="0.25">
      <c r="B208" s="96"/>
      <c r="C208" s="97" t="e">
        <v>#N/A</v>
      </c>
      <c r="D208" s="97" t="e">
        <v>#N/A</v>
      </c>
      <c r="E208" s="64"/>
      <c r="F208" s="99"/>
      <c r="G208" s="99"/>
      <c r="H208" s="102"/>
      <c r="I208" s="102"/>
      <c r="J208" s="99"/>
      <c r="K208" s="99"/>
      <c r="L208" s="99"/>
      <c r="M208" s="99"/>
      <c r="N208" s="99"/>
      <c r="O208" s="96"/>
      <c r="P208" s="96"/>
      <c r="Q208" s="15" t="e">
        <v>#N/A</v>
      </c>
      <c r="R208" s="15" t="e">
        <v>#N/A</v>
      </c>
      <c r="S208" s="15"/>
      <c r="T208" s="100"/>
      <c r="U208" s="15"/>
      <c r="V208" s="15"/>
      <c r="W208" s="97"/>
      <c r="X208" s="96"/>
      <c r="Y208" s="69">
        <f ca="1">Table25[[#This Row],[End Date]]+2-TODAY()</f>
        <v>-45775</v>
      </c>
      <c r="Z208" s="15">
        <f>IF(ISBLANK(Table25[[#This Row],[Roster Received By]]),1,0)</f>
        <v>1</v>
      </c>
      <c r="AA208" s="15">
        <f ca="1">IF(Table25[[#This Row],[Start Date]]&gt;TODAY(),1,)</f>
        <v>0</v>
      </c>
    </row>
    <row r="209" spans="2:27" s="61" customFormat="1" hidden="1" x14ac:dyDescent="0.25">
      <c r="B209" s="96"/>
      <c r="C209" s="97" t="e">
        <v>#N/A</v>
      </c>
      <c r="D209" s="97" t="e">
        <v>#N/A</v>
      </c>
      <c r="E209" s="64"/>
      <c r="F209" s="99"/>
      <c r="G209" s="99"/>
      <c r="H209" s="102"/>
      <c r="I209" s="102"/>
      <c r="J209" s="99"/>
      <c r="K209" s="99"/>
      <c r="L209" s="99"/>
      <c r="M209" s="99"/>
      <c r="N209" s="99"/>
      <c r="O209" s="96"/>
      <c r="P209" s="96"/>
      <c r="Q209" s="15" t="e">
        <v>#N/A</v>
      </c>
      <c r="R209" s="15" t="e">
        <v>#N/A</v>
      </c>
      <c r="S209" s="15"/>
      <c r="T209" s="100"/>
      <c r="U209" s="15"/>
      <c r="V209" s="15"/>
      <c r="W209" s="15"/>
      <c r="X209" s="96"/>
      <c r="Y209" s="69">
        <f ca="1">Table25[[#This Row],[End Date]]+2-TODAY()</f>
        <v>-45775</v>
      </c>
      <c r="Z209" s="15">
        <f>IF(ISBLANK(Table25[[#This Row],[Roster Received By]]),1,0)</f>
        <v>1</v>
      </c>
      <c r="AA209" s="15">
        <f ca="1">IF(Table25[[#This Row],[Start Date]]&gt;TODAY(),1,)</f>
        <v>0</v>
      </c>
    </row>
    <row r="210" spans="2:27" s="61" customFormat="1" hidden="1" x14ac:dyDescent="0.25">
      <c r="B210" s="96"/>
      <c r="C210" s="97" t="e">
        <v>#N/A</v>
      </c>
      <c r="D210" s="97" t="e">
        <v>#N/A</v>
      </c>
      <c r="E210" s="64"/>
      <c r="F210" s="99"/>
      <c r="G210" s="99"/>
      <c r="H210" s="102"/>
      <c r="I210" s="102"/>
      <c r="J210" s="99"/>
      <c r="K210" s="99"/>
      <c r="L210" s="99"/>
      <c r="M210" s="99"/>
      <c r="N210" s="99"/>
      <c r="O210" s="96"/>
      <c r="P210" s="96"/>
      <c r="Q210" s="15" t="e">
        <v>#N/A</v>
      </c>
      <c r="R210" s="15" t="e">
        <v>#N/A</v>
      </c>
      <c r="S210" s="15"/>
      <c r="T210" s="100"/>
      <c r="U210" s="15"/>
      <c r="V210" s="15"/>
      <c r="W210" s="15"/>
      <c r="X210" s="96"/>
      <c r="Y210" s="69">
        <f ca="1">Table25[[#This Row],[End Date]]+2-TODAY()</f>
        <v>-45775</v>
      </c>
      <c r="Z210" s="15">
        <f>IF(ISBLANK(Table25[[#This Row],[Roster Received By]]),1,0)</f>
        <v>1</v>
      </c>
      <c r="AA210" s="15">
        <f ca="1">IF(Table25[[#This Row],[Start Date]]&gt;TODAY(),1,)</f>
        <v>0</v>
      </c>
    </row>
    <row r="211" spans="2:27" s="61" customFormat="1" hidden="1" x14ac:dyDescent="0.25">
      <c r="B211" s="96"/>
      <c r="C211" s="97" t="e">
        <v>#N/A</v>
      </c>
      <c r="D211" s="97" t="e">
        <v>#N/A</v>
      </c>
      <c r="E211" s="96"/>
      <c r="F211" s="99"/>
      <c r="G211" s="99"/>
      <c r="H211" s="102"/>
      <c r="I211" s="102"/>
      <c r="J211" s="99"/>
      <c r="K211" s="99"/>
      <c r="L211" s="99"/>
      <c r="M211" s="99"/>
      <c r="N211" s="99"/>
      <c r="O211" s="96"/>
      <c r="P211" s="96"/>
      <c r="Q211" s="15" t="e">
        <v>#N/A</v>
      </c>
      <c r="R211" s="15" t="e">
        <v>#N/A</v>
      </c>
      <c r="S211" s="15"/>
      <c r="T211" s="100"/>
      <c r="U211" s="15"/>
      <c r="V211" s="15"/>
      <c r="W211" s="15"/>
      <c r="X211" s="96"/>
      <c r="Y211" s="69">
        <f ca="1">Table25[[#This Row],[End Date]]+2-TODAY()</f>
        <v>-45775</v>
      </c>
      <c r="Z211" s="15">
        <f>IF(ISBLANK(Table25[[#This Row],[Roster Received By]]),1,0)</f>
        <v>1</v>
      </c>
      <c r="AA211" s="15">
        <f ca="1">IF(Table25[[#This Row],[Start Date]]&gt;TODAY(),1,)</f>
        <v>0</v>
      </c>
    </row>
    <row r="212" spans="2:27" s="61" customFormat="1" hidden="1" x14ac:dyDescent="0.25">
      <c r="B212" s="96"/>
      <c r="C212" s="97" t="e">
        <v>#N/A</v>
      </c>
      <c r="D212" s="97" t="e">
        <v>#N/A</v>
      </c>
      <c r="E212" s="96"/>
      <c r="F212" s="99"/>
      <c r="G212" s="99"/>
      <c r="H212" s="102"/>
      <c r="I212" s="102"/>
      <c r="J212" s="99"/>
      <c r="K212" s="99"/>
      <c r="L212" s="99"/>
      <c r="M212" s="99"/>
      <c r="N212" s="99"/>
      <c r="O212" s="96"/>
      <c r="P212" s="96"/>
      <c r="Q212" s="15" t="e">
        <v>#N/A</v>
      </c>
      <c r="R212" s="15" t="e">
        <v>#N/A</v>
      </c>
      <c r="S212" s="15"/>
      <c r="T212" s="100"/>
      <c r="U212" s="15"/>
      <c r="V212" s="15"/>
      <c r="W212" s="15"/>
      <c r="X212" s="96"/>
      <c r="Y212" s="69">
        <f ca="1">Table25[[#This Row],[End Date]]+2-TODAY()</f>
        <v>-45775</v>
      </c>
      <c r="Z212" s="15">
        <f>IF(ISBLANK(Table25[[#This Row],[Roster Received By]]),1,0)</f>
        <v>1</v>
      </c>
      <c r="AA212" s="15">
        <f ca="1">IF(Table25[[#This Row],[Start Date]]&gt;TODAY(),1,)</f>
        <v>0</v>
      </c>
    </row>
    <row r="213" spans="2:27" s="61" customFormat="1" hidden="1" x14ac:dyDescent="0.25">
      <c r="B213" s="96"/>
      <c r="C213" s="97" t="e">
        <v>#N/A</v>
      </c>
      <c r="D213" s="97" t="e">
        <v>#N/A</v>
      </c>
      <c r="E213" s="96"/>
      <c r="F213" s="99"/>
      <c r="G213" s="99"/>
      <c r="H213" s="102"/>
      <c r="I213" s="102"/>
      <c r="J213" s="99"/>
      <c r="K213" s="99"/>
      <c r="L213" s="99"/>
      <c r="M213" s="99"/>
      <c r="N213" s="99"/>
      <c r="O213" s="96"/>
      <c r="P213" s="96"/>
      <c r="Q213" s="15" t="e">
        <v>#N/A</v>
      </c>
      <c r="R213" s="15" t="e">
        <v>#N/A</v>
      </c>
      <c r="S213" s="100"/>
      <c r="T213" s="100"/>
      <c r="U213" s="15"/>
      <c r="V213" s="15"/>
      <c r="W213" s="15"/>
      <c r="X213" s="96"/>
      <c r="Y213" s="69">
        <f ca="1">Table25[[#This Row],[End Date]]+2-TODAY()</f>
        <v>-45775</v>
      </c>
      <c r="Z213" s="15">
        <f>IF(ISBLANK(Table25[[#This Row],[Roster Received By]]),1,0)</f>
        <v>1</v>
      </c>
      <c r="AA213" s="15">
        <f ca="1">IF(Table25[[#This Row],[Start Date]]&gt;TODAY(),1,)</f>
        <v>0</v>
      </c>
    </row>
    <row r="214" spans="2:27" s="61" customFormat="1" hidden="1" x14ac:dyDescent="0.25">
      <c r="B214" s="96"/>
      <c r="C214" s="97" t="e">
        <v>#N/A</v>
      </c>
      <c r="D214" s="97" t="e">
        <v>#N/A</v>
      </c>
      <c r="E214" s="96"/>
      <c r="F214" s="99"/>
      <c r="G214" s="99"/>
      <c r="H214" s="102"/>
      <c r="I214" s="102"/>
      <c r="J214" s="102"/>
      <c r="K214" s="102"/>
      <c r="L214" s="102"/>
      <c r="M214" s="102"/>
      <c r="N214" s="99"/>
      <c r="O214" s="96"/>
      <c r="P214" s="96"/>
      <c r="Q214" s="15" t="e">
        <v>#N/A</v>
      </c>
      <c r="R214" s="15" t="e">
        <v>#N/A</v>
      </c>
      <c r="S214" s="15"/>
      <c r="T214" s="100"/>
      <c r="U214" s="15"/>
      <c r="V214" s="15"/>
      <c r="W214" s="15"/>
      <c r="X214" s="96"/>
      <c r="Y214" s="69">
        <f ca="1">Table25[[#This Row],[End Date]]+2-TODAY()</f>
        <v>-45775</v>
      </c>
      <c r="Z214" s="15">
        <f>IF(ISBLANK(Table25[[#This Row],[Roster Received By]]),1,0)</f>
        <v>1</v>
      </c>
      <c r="AA214" s="15">
        <f ca="1">IF(Table25[[#This Row],[Start Date]]&gt;TODAY(),1,)</f>
        <v>0</v>
      </c>
    </row>
    <row r="215" spans="2:27" s="61" customFormat="1" hidden="1" x14ac:dyDescent="0.25">
      <c r="B215" s="96"/>
      <c r="C215" s="97" t="e">
        <v>#N/A</v>
      </c>
      <c r="D215" s="97" t="e">
        <v>#N/A</v>
      </c>
      <c r="E215" s="96"/>
      <c r="F215" s="99"/>
      <c r="G215" s="99"/>
      <c r="H215" s="99"/>
      <c r="I215" s="98"/>
      <c r="J215" s="98"/>
      <c r="K215" s="98"/>
      <c r="L215" s="98"/>
      <c r="M215" s="98"/>
      <c r="N215" s="98"/>
      <c r="O215" s="96"/>
      <c r="P215" s="96"/>
      <c r="Q215" s="15" t="e">
        <v>#N/A</v>
      </c>
      <c r="R215" s="15" t="e">
        <v>#N/A</v>
      </c>
      <c r="S215" s="15"/>
      <c r="T215" s="100"/>
      <c r="U215" s="15"/>
      <c r="V215" s="15"/>
      <c r="W215" s="15"/>
      <c r="X215" s="96"/>
      <c r="Y215" s="69">
        <f ca="1">Table25[[#This Row],[End Date]]+2-TODAY()</f>
        <v>-45775</v>
      </c>
      <c r="Z215" s="15">
        <f>IF(ISBLANK(Table25[[#This Row],[Roster Received By]]),1,0)</f>
        <v>1</v>
      </c>
      <c r="AA215" s="15">
        <f ca="1">IF(Table25[[#This Row],[Start Date]]&gt;TODAY(),1,)</f>
        <v>0</v>
      </c>
    </row>
    <row r="216" spans="2:27" s="61" customFormat="1" hidden="1" x14ac:dyDescent="0.25">
      <c r="B216" s="96"/>
      <c r="C216" s="97" t="e">
        <v>#N/A</v>
      </c>
      <c r="D216" s="97" t="e">
        <v>#N/A</v>
      </c>
      <c r="E216" s="64"/>
      <c r="F216" s="99"/>
      <c r="G216" s="99"/>
      <c r="H216" s="102"/>
      <c r="I216" s="102"/>
      <c r="J216" s="99"/>
      <c r="K216" s="99"/>
      <c r="L216" s="99"/>
      <c r="M216" s="99"/>
      <c r="N216" s="99"/>
      <c r="O216" s="96"/>
      <c r="P216" s="96"/>
      <c r="Q216" s="15" t="e">
        <v>#N/A</v>
      </c>
      <c r="R216" s="15" t="e">
        <v>#N/A</v>
      </c>
      <c r="S216" s="15"/>
      <c r="T216" s="100"/>
      <c r="U216" s="15"/>
      <c r="V216" s="15"/>
      <c r="W216" s="15"/>
      <c r="X216" s="96"/>
      <c r="Y216" s="69">
        <f ca="1">Table25[[#This Row],[End Date]]+2-TODAY()</f>
        <v>-45775</v>
      </c>
      <c r="Z216" s="15">
        <f>IF(ISBLANK(Table25[[#This Row],[Roster Received By]]),1,0)</f>
        <v>1</v>
      </c>
      <c r="AA216" s="15">
        <f ca="1">IF(Table25[[#This Row],[Start Date]]&gt;TODAY(),1,)</f>
        <v>0</v>
      </c>
    </row>
    <row r="217" spans="2:27" s="61" customFormat="1" hidden="1" x14ac:dyDescent="0.25">
      <c r="B217" s="96"/>
      <c r="C217" s="97" t="e">
        <v>#N/A</v>
      </c>
      <c r="D217" s="97" t="e">
        <v>#N/A</v>
      </c>
      <c r="E217" s="96"/>
      <c r="F217" s="99"/>
      <c r="G217" s="99"/>
      <c r="H217" s="102"/>
      <c r="I217" s="102"/>
      <c r="J217" s="131"/>
      <c r="K217" s="131"/>
      <c r="L217" s="131"/>
      <c r="M217" s="131"/>
      <c r="N217" s="99"/>
      <c r="O217" s="96"/>
      <c r="P217" s="96"/>
      <c r="Q217" s="15" t="e">
        <v>#N/A</v>
      </c>
      <c r="R217" s="15" t="e">
        <v>#N/A</v>
      </c>
      <c r="S217" s="15"/>
      <c r="T217" s="100"/>
      <c r="U217" s="15"/>
      <c r="V217" s="15"/>
      <c r="W217" s="104"/>
      <c r="X217" s="96"/>
      <c r="Y217" s="69">
        <f ca="1">Table25[[#This Row],[End Date]]+2-TODAY()</f>
        <v>-45775</v>
      </c>
      <c r="Z217" s="15">
        <f>IF(ISBLANK(Table25[[#This Row],[Roster Received By]]),1,0)</f>
        <v>1</v>
      </c>
      <c r="AA217" s="15">
        <f ca="1">IF(Table25[[#This Row],[Start Date]]&gt;TODAY(),1,)</f>
        <v>0</v>
      </c>
    </row>
    <row r="218" spans="2:27" s="61" customFormat="1" hidden="1" x14ac:dyDescent="0.25">
      <c r="B218" s="96"/>
      <c r="C218" s="97" t="e">
        <v>#N/A</v>
      </c>
      <c r="D218" s="97" t="e">
        <v>#N/A</v>
      </c>
      <c r="E218" s="96"/>
      <c r="F218" s="99"/>
      <c r="G218" s="99"/>
      <c r="H218" s="99"/>
      <c r="I218" s="98"/>
      <c r="J218" s="98"/>
      <c r="K218" s="98"/>
      <c r="L218" s="98"/>
      <c r="M218" s="98"/>
      <c r="N218" s="98"/>
      <c r="O218" s="96"/>
      <c r="P218" s="96"/>
      <c r="Q218" s="15" t="e">
        <v>#N/A</v>
      </c>
      <c r="R218" s="15" t="e">
        <v>#N/A</v>
      </c>
      <c r="S218" s="15"/>
      <c r="T218" s="100"/>
      <c r="U218" s="15"/>
      <c r="V218" s="15"/>
      <c r="W218" s="15"/>
      <c r="X218" s="96"/>
      <c r="Y218" s="69">
        <f ca="1">Table25[[#This Row],[End Date]]+2-TODAY()</f>
        <v>-45775</v>
      </c>
      <c r="Z218" s="15">
        <f>IF(ISBLANK(Table25[[#This Row],[Roster Received By]]),1,0)</f>
        <v>1</v>
      </c>
      <c r="AA218" s="15">
        <f ca="1">IF(Table25[[#This Row],[Start Date]]&gt;TODAY(),1,)</f>
        <v>0</v>
      </c>
    </row>
    <row r="219" spans="2:27" s="61" customFormat="1" hidden="1" x14ac:dyDescent="0.25">
      <c r="B219" s="96"/>
      <c r="C219" s="97" t="e">
        <v>#N/A</v>
      </c>
      <c r="D219" s="97" t="e">
        <v>#N/A</v>
      </c>
      <c r="E219" s="96"/>
      <c r="F219" s="99"/>
      <c r="G219" s="99"/>
      <c r="H219" s="99"/>
      <c r="I219" s="98"/>
      <c r="J219" s="98"/>
      <c r="K219" s="98"/>
      <c r="L219" s="98"/>
      <c r="M219" s="98"/>
      <c r="N219" s="98"/>
      <c r="O219" s="96"/>
      <c r="P219" s="96"/>
      <c r="Q219" s="15" t="e">
        <v>#N/A</v>
      </c>
      <c r="R219" s="15" t="e">
        <v>#N/A</v>
      </c>
      <c r="S219" s="15"/>
      <c r="T219" s="100"/>
      <c r="U219" s="15"/>
      <c r="V219" s="15"/>
      <c r="W219" s="15"/>
      <c r="X219" s="96"/>
      <c r="Y219" s="69">
        <f ca="1">Table25[[#This Row],[End Date]]+2-TODAY()</f>
        <v>-45775</v>
      </c>
      <c r="Z219" s="15">
        <f>IF(ISBLANK(Table25[[#This Row],[Roster Received By]]),1,0)</f>
        <v>1</v>
      </c>
      <c r="AA219" s="15">
        <f ca="1">IF(Table25[[#This Row],[Start Date]]&gt;TODAY(),1,)</f>
        <v>0</v>
      </c>
    </row>
    <row r="220" spans="2:27" s="61" customFormat="1" hidden="1" x14ac:dyDescent="0.25">
      <c r="B220" s="96"/>
      <c r="C220" s="97" t="e">
        <v>#N/A</v>
      </c>
      <c r="D220" s="97" t="e">
        <v>#N/A</v>
      </c>
      <c r="E220" s="96"/>
      <c r="F220" s="99"/>
      <c r="G220" s="99"/>
      <c r="H220" s="99"/>
      <c r="I220" s="98"/>
      <c r="J220" s="98"/>
      <c r="K220" s="98"/>
      <c r="L220" s="98"/>
      <c r="M220" s="98"/>
      <c r="N220" s="98"/>
      <c r="O220" s="96"/>
      <c r="P220" s="96"/>
      <c r="Q220" s="15" t="e">
        <v>#N/A</v>
      </c>
      <c r="R220" s="15" t="e">
        <v>#N/A</v>
      </c>
      <c r="S220" s="15"/>
      <c r="T220" s="100"/>
      <c r="U220" s="15"/>
      <c r="V220" s="15"/>
      <c r="W220" s="15"/>
      <c r="X220" s="96"/>
      <c r="Y220" s="69">
        <f ca="1">Table25[[#This Row],[End Date]]+2-TODAY()</f>
        <v>-45775</v>
      </c>
      <c r="Z220" s="15">
        <f>IF(ISBLANK(Table25[[#This Row],[Roster Received By]]),1,0)</f>
        <v>1</v>
      </c>
      <c r="AA220" s="15">
        <f ca="1">IF(Table25[[#This Row],[Start Date]]&gt;TODAY(),1,)</f>
        <v>0</v>
      </c>
    </row>
    <row r="221" spans="2:27" s="61" customFormat="1" hidden="1" x14ac:dyDescent="0.25">
      <c r="B221" s="96"/>
      <c r="C221" s="97" t="e">
        <v>#N/A</v>
      </c>
      <c r="D221" s="97" t="e">
        <v>#N/A</v>
      </c>
      <c r="E221" s="64"/>
      <c r="F221" s="99"/>
      <c r="G221" s="99"/>
      <c r="H221" s="105"/>
      <c r="I221" s="105"/>
      <c r="J221" s="99"/>
      <c r="K221" s="99"/>
      <c r="L221" s="99"/>
      <c r="M221" s="99"/>
      <c r="N221" s="99"/>
      <c r="O221" s="96"/>
      <c r="P221" s="96"/>
      <c r="Q221" s="15" t="e">
        <v>#N/A</v>
      </c>
      <c r="R221" s="15" t="e">
        <v>#N/A</v>
      </c>
      <c r="S221" s="15"/>
      <c r="T221" s="100"/>
      <c r="U221" s="15"/>
      <c r="V221" s="15"/>
      <c r="W221" s="100"/>
      <c r="X221" s="96"/>
      <c r="Y221" s="69">
        <f ca="1">Table25[[#This Row],[End Date]]+2-TODAY()</f>
        <v>-45775</v>
      </c>
      <c r="Z221" s="15">
        <f>IF(ISBLANK(Table25[[#This Row],[Roster Received By]]),1,0)</f>
        <v>1</v>
      </c>
      <c r="AA221" s="15">
        <f ca="1">IF(Table25[[#This Row],[Start Date]]&gt;TODAY(),1,)</f>
        <v>0</v>
      </c>
    </row>
    <row r="222" spans="2:27" s="61" customFormat="1" hidden="1" x14ac:dyDescent="0.25">
      <c r="B222" s="96"/>
      <c r="C222" s="97" t="e">
        <v>#N/A</v>
      </c>
      <c r="D222" s="97" t="e">
        <v>#N/A</v>
      </c>
      <c r="E222" s="96"/>
      <c r="F222" s="99"/>
      <c r="G222" s="99"/>
      <c r="H222" s="99"/>
      <c r="I222" s="98"/>
      <c r="J222" s="98"/>
      <c r="K222" s="98"/>
      <c r="L222" s="98"/>
      <c r="M222" s="98"/>
      <c r="N222" s="98"/>
      <c r="O222" s="96"/>
      <c r="P222" s="96"/>
      <c r="Q222" s="15" t="e">
        <v>#N/A</v>
      </c>
      <c r="R222" s="15" t="e">
        <v>#N/A</v>
      </c>
      <c r="S222" s="15"/>
      <c r="T222" s="100"/>
      <c r="U222" s="15"/>
      <c r="V222" s="15"/>
      <c r="W222" s="15"/>
      <c r="X222" s="96"/>
      <c r="Y222" s="69">
        <f ca="1">Table25[[#This Row],[End Date]]+2-TODAY()</f>
        <v>-45775</v>
      </c>
      <c r="Z222" s="15">
        <f>IF(ISBLANK(Table25[[#This Row],[Roster Received By]]),1,0)</f>
        <v>1</v>
      </c>
      <c r="AA222" s="15">
        <f ca="1">IF(Table25[[#This Row],[Start Date]]&gt;TODAY(),1,)</f>
        <v>0</v>
      </c>
    </row>
    <row r="223" spans="2:27" s="61" customFormat="1" hidden="1" x14ac:dyDescent="0.25">
      <c r="B223" s="96"/>
      <c r="C223" s="97" t="e">
        <v>#N/A</v>
      </c>
      <c r="D223" s="97" t="e">
        <v>#N/A</v>
      </c>
      <c r="E223" s="96"/>
      <c r="F223" s="99"/>
      <c r="G223" s="99"/>
      <c r="H223" s="99"/>
      <c r="I223" s="98"/>
      <c r="J223" s="98"/>
      <c r="K223" s="98"/>
      <c r="L223" s="98"/>
      <c r="M223" s="98"/>
      <c r="N223" s="98"/>
      <c r="O223" s="96"/>
      <c r="P223" s="96"/>
      <c r="Q223" s="15" t="e">
        <v>#N/A</v>
      </c>
      <c r="R223" s="15" t="e">
        <v>#N/A</v>
      </c>
      <c r="S223" s="15"/>
      <c r="T223" s="100"/>
      <c r="U223" s="15"/>
      <c r="V223" s="15"/>
      <c r="W223" s="101"/>
      <c r="X223" s="96"/>
      <c r="Y223" s="69">
        <f ca="1">Table25[[#This Row],[End Date]]+2-TODAY()</f>
        <v>-45775</v>
      </c>
      <c r="Z223" s="15">
        <f>IF(ISBLANK(Table25[[#This Row],[Roster Received By]]),1,0)</f>
        <v>1</v>
      </c>
      <c r="AA223" s="15">
        <f ca="1">IF(Table25[[#This Row],[Start Date]]&gt;TODAY(),1,)</f>
        <v>0</v>
      </c>
    </row>
    <row r="224" spans="2:27" s="61" customFormat="1" hidden="1" x14ac:dyDescent="0.25">
      <c r="B224" s="96"/>
      <c r="C224" s="97" t="e">
        <v>#N/A</v>
      </c>
      <c r="D224" s="97" t="e">
        <v>#N/A</v>
      </c>
      <c r="E224" s="64"/>
      <c r="F224" s="99"/>
      <c r="G224" s="99"/>
      <c r="H224" s="102"/>
      <c r="I224" s="102"/>
      <c r="J224" s="99"/>
      <c r="K224" s="99"/>
      <c r="L224" s="99"/>
      <c r="M224" s="99"/>
      <c r="N224" s="99"/>
      <c r="O224" s="96"/>
      <c r="P224" s="96"/>
      <c r="Q224" s="15" t="e">
        <v>#N/A</v>
      </c>
      <c r="R224" s="15" t="e">
        <v>#N/A</v>
      </c>
      <c r="S224" s="15"/>
      <c r="T224" s="100"/>
      <c r="U224" s="15"/>
      <c r="V224" s="15"/>
      <c r="W224" s="97"/>
      <c r="X224" s="96"/>
      <c r="Y224" s="69">
        <f ca="1">Table25[[#This Row],[End Date]]+2-TODAY()</f>
        <v>-45775</v>
      </c>
      <c r="Z224" s="15">
        <f>IF(ISBLANK(Table25[[#This Row],[Roster Received By]]),1,0)</f>
        <v>1</v>
      </c>
      <c r="AA224" s="15">
        <f ca="1">IF(Table25[[#This Row],[Start Date]]&gt;TODAY(),1,)</f>
        <v>0</v>
      </c>
    </row>
    <row r="225" spans="1:27" s="110" customFormat="1" hidden="1" x14ac:dyDescent="0.25">
      <c r="A225" s="61"/>
      <c r="B225" s="96"/>
      <c r="C225" s="97" t="e">
        <v>#N/A</v>
      </c>
      <c r="D225" s="97" t="e">
        <v>#N/A</v>
      </c>
      <c r="E225" s="96"/>
      <c r="F225" s="99"/>
      <c r="G225" s="99"/>
      <c r="H225" s="99"/>
      <c r="I225" s="98"/>
      <c r="J225" s="98"/>
      <c r="K225" s="98"/>
      <c r="L225" s="98"/>
      <c r="M225" s="98"/>
      <c r="N225" s="98"/>
      <c r="O225" s="96"/>
      <c r="P225" s="96"/>
      <c r="Q225" s="15" t="e">
        <v>#N/A</v>
      </c>
      <c r="R225" s="15" t="e">
        <v>#N/A</v>
      </c>
      <c r="S225" s="15"/>
      <c r="T225" s="100"/>
      <c r="U225" s="15"/>
      <c r="V225" s="15"/>
      <c r="W225" s="15"/>
      <c r="X225" s="96"/>
      <c r="Y225" s="69">
        <f ca="1">Table25[[#This Row],[End Date]]+2-TODAY()</f>
        <v>-45775</v>
      </c>
      <c r="Z225" s="15">
        <f>IF(ISBLANK(Table25[[#This Row],[Roster Received By]]),1,0)</f>
        <v>1</v>
      </c>
      <c r="AA225" s="15">
        <f ca="1">IF(Table25[[#This Row],[Start Date]]&gt;TODAY(),1,)</f>
        <v>0</v>
      </c>
    </row>
    <row r="226" spans="1:27" s="61" customFormat="1" hidden="1" x14ac:dyDescent="0.25">
      <c r="A226" s="96"/>
      <c r="B226" s="96"/>
      <c r="C226" s="97" t="e">
        <v>#N/A</v>
      </c>
      <c r="D226" s="97" t="e">
        <v>#N/A</v>
      </c>
      <c r="E226" s="64"/>
      <c r="F226" s="99"/>
      <c r="G226" s="99"/>
      <c r="H226" s="102"/>
      <c r="I226" s="102"/>
      <c r="J226" s="99"/>
      <c r="K226" s="99"/>
      <c r="L226" s="99"/>
      <c r="M226" s="99"/>
      <c r="N226" s="99"/>
      <c r="O226" s="96"/>
      <c r="P226" s="96"/>
      <c r="Q226" s="15" t="e">
        <v>#N/A</v>
      </c>
      <c r="R226" s="15" t="e">
        <v>#N/A</v>
      </c>
      <c r="S226" s="15"/>
      <c r="T226" s="100"/>
      <c r="U226" s="15"/>
      <c r="V226" s="15"/>
      <c r="W226" s="97"/>
      <c r="X226" s="96"/>
      <c r="Y226" s="69">
        <f ca="1">Table25[[#This Row],[End Date]]+2-TODAY()</f>
        <v>-45775</v>
      </c>
      <c r="Z226" s="15">
        <f>IF(ISBLANK(Table25[[#This Row],[Roster Received By]]),1,0)</f>
        <v>1</v>
      </c>
      <c r="AA226" s="15">
        <f ca="1">IF(Table25[[#This Row],[Start Date]]&gt;TODAY(),1,)</f>
        <v>0</v>
      </c>
    </row>
    <row r="227" spans="1:27" s="61" customFormat="1" hidden="1" x14ac:dyDescent="0.25">
      <c r="B227" s="96"/>
      <c r="C227" s="97" t="e">
        <v>#N/A</v>
      </c>
      <c r="D227" s="97" t="e">
        <v>#N/A</v>
      </c>
      <c r="E227" s="96"/>
      <c r="F227" s="99"/>
      <c r="G227" s="99"/>
      <c r="H227" s="102"/>
      <c r="I227" s="102"/>
      <c r="J227" s="99"/>
      <c r="K227" s="99"/>
      <c r="L227" s="99"/>
      <c r="M227" s="99"/>
      <c r="N227" s="99"/>
      <c r="O227" s="96"/>
      <c r="P227" s="96"/>
      <c r="Q227" s="15" t="e">
        <v>#N/A</v>
      </c>
      <c r="R227" s="15" t="e">
        <v>#N/A</v>
      </c>
      <c r="S227" s="15"/>
      <c r="T227" s="100"/>
      <c r="U227" s="15"/>
      <c r="V227" s="15"/>
      <c r="W227" s="97"/>
      <c r="X227" s="96"/>
      <c r="Y227" s="69">
        <f ca="1">Table25[[#This Row],[End Date]]+2-TODAY()</f>
        <v>-45775</v>
      </c>
      <c r="Z227" s="15">
        <f>IF(ISBLANK(Table25[[#This Row],[Roster Received By]]),1,0)</f>
        <v>1</v>
      </c>
      <c r="AA227" s="15">
        <f ca="1">IF(Table25[[#This Row],[Start Date]]&gt;TODAY(),1,)</f>
        <v>0</v>
      </c>
    </row>
    <row r="228" spans="1:27" s="61" customFormat="1" hidden="1" x14ac:dyDescent="0.25">
      <c r="B228" s="96"/>
      <c r="C228" s="97" t="e">
        <v>#N/A</v>
      </c>
      <c r="D228" s="97" t="e">
        <v>#N/A</v>
      </c>
      <c r="E228" s="96"/>
      <c r="F228" s="99"/>
      <c r="G228" s="99"/>
      <c r="H228" s="99"/>
      <c r="I228" s="98"/>
      <c r="J228" s="98"/>
      <c r="K228" s="98"/>
      <c r="L228" s="98"/>
      <c r="M228" s="98"/>
      <c r="N228" s="98"/>
      <c r="O228" s="96"/>
      <c r="P228" s="96"/>
      <c r="Q228" s="15" t="e">
        <v>#N/A</v>
      </c>
      <c r="R228" s="15" t="e">
        <v>#N/A</v>
      </c>
      <c r="S228" s="15"/>
      <c r="T228" s="100"/>
      <c r="U228" s="15"/>
      <c r="V228" s="15"/>
      <c r="W228" s="15"/>
      <c r="X228" s="96"/>
      <c r="Y228" s="69">
        <f ca="1">Table25[[#This Row],[End Date]]+2-TODAY()</f>
        <v>-45775</v>
      </c>
      <c r="Z228" s="15">
        <f>IF(ISBLANK(Table25[[#This Row],[Roster Received By]]),1,0)</f>
        <v>1</v>
      </c>
      <c r="AA228" s="15">
        <f ca="1">IF(Table25[[#This Row],[Start Date]]&gt;TODAY(),1,)</f>
        <v>0</v>
      </c>
    </row>
    <row r="229" spans="1:27" s="61" customFormat="1" hidden="1" x14ac:dyDescent="0.25">
      <c r="B229" s="96"/>
      <c r="C229" s="97" t="e">
        <v>#N/A</v>
      </c>
      <c r="D229" s="97" t="e">
        <v>#N/A</v>
      </c>
      <c r="E229" s="96"/>
      <c r="F229" s="99"/>
      <c r="G229" s="99"/>
      <c r="H229" s="102"/>
      <c r="I229" s="102"/>
      <c r="J229" s="102"/>
      <c r="K229" s="102"/>
      <c r="L229" s="102"/>
      <c r="M229" s="102"/>
      <c r="N229" s="99"/>
      <c r="O229" s="96"/>
      <c r="P229" s="96"/>
      <c r="Q229" s="15" t="e">
        <v>#N/A</v>
      </c>
      <c r="R229" s="15" t="e">
        <v>#N/A</v>
      </c>
      <c r="S229" s="15"/>
      <c r="T229" s="100"/>
      <c r="U229" s="15"/>
      <c r="V229" s="15"/>
      <c r="W229" s="15"/>
      <c r="X229" s="96"/>
      <c r="Y229" s="69">
        <f ca="1">Table25[[#This Row],[End Date]]+2-TODAY()</f>
        <v>-45775</v>
      </c>
      <c r="Z229" s="15">
        <f>IF(ISBLANK(Table25[[#This Row],[Roster Received By]]),1,0)</f>
        <v>1</v>
      </c>
      <c r="AA229" s="15">
        <f ca="1">IF(Table25[[#This Row],[Start Date]]&gt;TODAY(),1,)</f>
        <v>0</v>
      </c>
    </row>
    <row r="230" spans="1:27" s="61" customFormat="1" hidden="1" x14ac:dyDescent="0.25">
      <c r="B230" s="96"/>
      <c r="C230" s="97" t="e">
        <v>#N/A</v>
      </c>
      <c r="D230" s="97" t="e">
        <v>#N/A</v>
      </c>
      <c r="E230" s="96"/>
      <c r="F230" s="99"/>
      <c r="G230" s="99"/>
      <c r="H230" s="102"/>
      <c r="I230" s="102"/>
      <c r="J230" s="102"/>
      <c r="K230" s="102"/>
      <c r="L230" s="102"/>
      <c r="M230" s="102"/>
      <c r="N230" s="99"/>
      <c r="O230" s="96"/>
      <c r="P230" s="96"/>
      <c r="Q230" s="15" t="e">
        <v>#N/A</v>
      </c>
      <c r="R230" s="15" t="e">
        <v>#N/A</v>
      </c>
      <c r="S230" s="15"/>
      <c r="T230" s="100"/>
      <c r="U230" s="15"/>
      <c r="V230" s="15"/>
      <c r="W230" s="15"/>
      <c r="X230" s="96"/>
      <c r="Y230" s="69">
        <f ca="1">Table25[[#This Row],[End Date]]+2-TODAY()</f>
        <v>-45775</v>
      </c>
      <c r="Z230" s="15">
        <f>IF(ISBLANK(Table25[[#This Row],[Roster Received By]]),1,0)</f>
        <v>1</v>
      </c>
      <c r="AA230" s="15">
        <f ca="1">IF(Table25[[#This Row],[Start Date]]&gt;TODAY(),1,)</f>
        <v>0</v>
      </c>
    </row>
    <row r="231" spans="1:27" s="61" customFormat="1" hidden="1" x14ac:dyDescent="0.25">
      <c r="B231" s="96"/>
      <c r="C231" s="97" t="e">
        <v>#N/A</v>
      </c>
      <c r="D231" s="97" t="e">
        <v>#N/A</v>
      </c>
      <c r="E231" s="96"/>
      <c r="F231" s="99"/>
      <c r="G231" s="99"/>
      <c r="H231" s="99"/>
      <c r="I231" s="98"/>
      <c r="J231" s="98"/>
      <c r="K231" s="98"/>
      <c r="L231" s="98"/>
      <c r="M231" s="98"/>
      <c r="N231" s="98"/>
      <c r="O231" s="96"/>
      <c r="P231" s="96"/>
      <c r="Q231" s="15" t="e">
        <v>#N/A</v>
      </c>
      <c r="R231" s="15" t="e">
        <v>#N/A</v>
      </c>
      <c r="S231" s="15"/>
      <c r="T231" s="100"/>
      <c r="U231" s="15"/>
      <c r="V231" s="15"/>
      <c r="W231" s="15"/>
      <c r="X231" s="96"/>
      <c r="Y231" s="69">
        <f ca="1">Table25[[#This Row],[End Date]]+2-TODAY()</f>
        <v>-45775</v>
      </c>
      <c r="Z231" s="15">
        <f>IF(ISBLANK(Table25[[#This Row],[Roster Received By]]),1,0)</f>
        <v>1</v>
      </c>
      <c r="AA231" s="15">
        <f ca="1">IF(Table25[[#This Row],[Start Date]]&gt;TODAY(),1,)</f>
        <v>0</v>
      </c>
    </row>
    <row r="232" spans="1:27" s="61" customFormat="1" hidden="1" x14ac:dyDescent="0.25">
      <c r="B232" s="96"/>
      <c r="C232" s="97" t="e">
        <v>#N/A</v>
      </c>
      <c r="D232" s="97" t="e">
        <v>#N/A</v>
      </c>
      <c r="E232" s="96"/>
      <c r="F232" s="99"/>
      <c r="G232" s="99"/>
      <c r="H232" s="99"/>
      <c r="I232" s="98"/>
      <c r="J232" s="98"/>
      <c r="K232" s="98"/>
      <c r="L232" s="98"/>
      <c r="M232" s="98"/>
      <c r="N232" s="98"/>
      <c r="O232" s="96"/>
      <c r="P232" s="96"/>
      <c r="Q232" s="15" t="e">
        <v>#N/A</v>
      </c>
      <c r="R232" s="15" t="e">
        <v>#N/A</v>
      </c>
      <c r="S232" s="15"/>
      <c r="T232" s="100"/>
      <c r="U232" s="15"/>
      <c r="V232" s="15"/>
      <c r="W232" s="15"/>
      <c r="X232" s="96"/>
      <c r="Y232" s="69">
        <f ca="1">Table25[[#This Row],[End Date]]+2-TODAY()</f>
        <v>-45775</v>
      </c>
      <c r="Z232" s="15">
        <f>IF(ISBLANK(Table25[[#This Row],[Roster Received By]]),1,0)</f>
        <v>1</v>
      </c>
      <c r="AA232" s="15">
        <f ca="1">IF(Table25[[#This Row],[Start Date]]&gt;TODAY(),1,)</f>
        <v>0</v>
      </c>
    </row>
    <row r="233" spans="1:27" s="61" customFormat="1" hidden="1" x14ac:dyDescent="0.25">
      <c r="B233" s="96"/>
      <c r="C233" s="97" t="e">
        <v>#N/A</v>
      </c>
      <c r="D233" s="97" t="e">
        <v>#N/A</v>
      </c>
      <c r="E233" s="96"/>
      <c r="F233" s="99"/>
      <c r="G233" s="99"/>
      <c r="H233" s="99"/>
      <c r="I233" s="98"/>
      <c r="J233" s="98"/>
      <c r="K233" s="98"/>
      <c r="L233" s="98"/>
      <c r="M233" s="98"/>
      <c r="N233" s="98"/>
      <c r="O233" s="96"/>
      <c r="P233" s="96"/>
      <c r="Q233" s="15" t="e">
        <v>#N/A</v>
      </c>
      <c r="R233" s="15" t="e">
        <v>#N/A</v>
      </c>
      <c r="S233" s="15"/>
      <c r="T233" s="100"/>
      <c r="U233" s="15"/>
      <c r="V233" s="15"/>
      <c r="W233" s="15"/>
      <c r="X233" s="96"/>
      <c r="Y233" s="69">
        <f ca="1">Table25[[#This Row],[End Date]]+2-TODAY()</f>
        <v>-45775</v>
      </c>
      <c r="Z233" s="15">
        <f>IF(ISBLANK(Table25[[#This Row],[Roster Received By]]),1,0)</f>
        <v>1</v>
      </c>
      <c r="AA233" s="15">
        <f ca="1">IF(Table25[[#This Row],[Start Date]]&gt;TODAY(),1,)</f>
        <v>0</v>
      </c>
    </row>
    <row r="234" spans="1:27" s="61" customFormat="1" hidden="1" x14ac:dyDescent="0.25">
      <c r="B234" s="96"/>
      <c r="C234" s="97" t="e">
        <v>#N/A</v>
      </c>
      <c r="D234" s="97" t="e">
        <v>#N/A</v>
      </c>
      <c r="E234" s="96"/>
      <c r="F234" s="99"/>
      <c r="G234" s="99"/>
      <c r="H234" s="99"/>
      <c r="I234" s="98"/>
      <c r="J234" s="98"/>
      <c r="K234" s="98"/>
      <c r="L234" s="98"/>
      <c r="M234" s="98"/>
      <c r="N234" s="98"/>
      <c r="O234" s="96"/>
      <c r="P234" s="96"/>
      <c r="Q234" s="15" t="e">
        <v>#N/A</v>
      </c>
      <c r="R234" s="15" t="e">
        <v>#N/A</v>
      </c>
      <c r="S234" s="15"/>
      <c r="T234" s="100"/>
      <c r="U234" s="15"/>
      <c r="V234" s="15"/>
      <c r="W234" s="15"/>
      <c r="X234" s="96"/>
      <c r="Y234" s="69">
        <f ca="1">Table25[[#This Row],[End Date]]+2-TODAY()</f>
        <v>-45775</v>
      </c>
      <c r="Z234" s="15">
        <f>IF(ISBLANK(Table25[[#This Row],[Roster Received By]]),1,0)</f>
        <v>1</v>
      </c>
      <c r="AA234" s="15">
        <f ca="1">IF(Table25[[#This Row],[Start Date]]&gt;TODAY(),1,)</f>
        <v>0</v>
      </c>
    </row>
    <row r="235" spans="1:27" s="61" customFormat="1" hidden="1" x14ac:dyDescent="0.25">
      <c r="B235" s="96"/>
      <c r="C235" s="97" t="e">
        <v>#N/A</v>
      </c>
      <c r="D235" s="97" t="e">
        <v>#N/A</v>
      </c>
      <c r="E235" s="96"/>
      <c r="F235" s="99"/>
      <c r="G235" s="99"/>
      <c r="H235" s="99"/>
      <c r="I235" s="98"/>
      <c r="J235" s="98"/>
      <c r="K235" s="98"/>
      <c r="L235" s="98"/>
      <c r="M235" s="98"/>
      <c r="N235" s="98"/>
      <c r="O235" s="96"/>
      <c r="P235" s="96"/>
      <c r="Q235" s="15" t="e">
        <v>#N/A</v>
      </c>
      <c r="R235" s="15" t="e">
        <v>#N/A</v>
      </c>
      <c r="S235" s="15"/>
      <c r="T235" s="100"/>
      <c r="U235" s="15"/>
      <c r="V235" s="15"/>
      <c r="W235" s="15"/>
      <c r="X235" s="96"/>
      <c r="Y235" s="69">
        <f ca="1">Table25[[#This Row],[End Date]]+2-TODAY()</f>
        <v>-45775</v>
      </c>
      <c r="Z235" s="15">
        <f>IF(ISBLANK(Table25[[#This Row],[Roster Received By]]),1,0)</f>
        <v>1</v>
      </c>
      <c r="AA235" s="15">
        <f ca="1">IF(Table25[[#This Row],[Start Date]]&gt;TODAY(),1,)</f>
        <v>0</v>
      </c>
    </row>
    <row r="236" spans="1:27" s="61" customFormat="1" hidden="1" x14ac:dyDescent="0.25">
      <c r="B236" s="96"/>
      <c r="C236" s="97" t="e">
        <v>#N/A</v>
      </c>
      <c r="D236" s="97" t="e">
        <v>#N/A</v>
      </c>
      <c r="E236" s="96"/>
      <c r="F236" s="99"/>
      <c r="G236" s="99"/>
      <c r="H236" s="105"/>
      <c r="I236" s="102"/>
      <c r="J236" s="99"/>
      <c r="K236" s="99"/>
      <c r="L236" s="99"/>
      <c r="M236" s="99"/>
      <c r="N236" s="99"/>
      <c r="O236" s="96"/>
      <c r="P236" s="96"/>
      <c r="Q236" s="15" t="e">
        <v>#N/A</v>
      </c>
      <c r="R236" s="15" t="e">
        <v>#N/A</v>
      </c>
      <c r="S236" s="100"/>
      <c r="T236" s="100"/>
      <c r="U236" s="15"/>
      <c r="V236" s="15"/>
      <c r="W236" s="15"/>
      <c r="X236" s="96"/>
      <c r="Y236" s="69">
        <f ca="1">Table25[[#This Row],[End Date]]+2-TODAY()</f>
        <v>-45775</v>
      </c>
      <c r="Z236" s="15">
        <f>IF(ISBLANK(Table25[[#This Row],[Roster Received By]]),1,0)</f>
        <v>1</v>
      </c>
      <c r="AA236" s="15">
        <f ca="1">IF(Table25[[#This Row],[Start Date]]&gt;TODAY(),1,)</f>
        <v>0</v>
      </c>
    </row>
    <row r="237" spans="1:27" s="61" customFormat="1" hidden="1" x14ac:dyDescent="0.25">
      <c r="B237" s="113"/>
      <c r="C237" s="97" t="e">
        <v>#N/A</v>
      </c>
      <c r="D237" s="97" t="e">
        <v>#N/A</v>
      </c>
      <c r="E237" s="96"/>
      <c r="F237" s="99"/>
      <c r="G237" s="99"/>
      <c r="H237" s="99"/>
      <c r="I237" s="98"/>
      <c r="J237" s="98"/>
      <c r="K237" s="98"/>
      <c r="L237" s="98"/>
      <c r="M237" s="98"/>
      <c r="N237" s="98"/>
      <c r="O237" s="96"/>
      <c r="P237" s="96"/>
      <c r="Q237" s="15" t="e">
        <v>#N/A</v>
      </c>
      <c r="R237" s="15" t="e">
        <v>#N/A</v>
      </c>
      <c r="S237" s="15"/>
      <c r="T237" s="100"/>
      <c r="U237" s="15"/>
      <c r="V237" s="15"/>
      <c r="W237" s="15"/>
      <c r="X237" s="96"/>
      <c r="Y237" s="69">
        <f ca="1">Table25[[#This Row],[End Date]]+2-TODAY()</f>
        <v>-45775</v>
      </c>
      <c r="Z237" s="15">
        <f>IF(ISBLANK(Table25[[#This Row],[Roster Received By]]),1,0)</f>
        <v>1</v>
      </c>
      <c r="AA237" s="15">
        <f ca="1">IF(Table25[[#This Row],[Start Date]]&gt;TODAY(),1,)</f>
        <v>0</v>
      </c>
    </row>
    <row r="238" spans="1:27" s="61" customFormat="1" hidden="1" x14ac:dyDescent="0.25">
      <c r="B238" s="96"/>
      <c r="C238" s="97" t="e">
        <v>#N/A</v>
      </c>
      <c r="D238" s="97" t="e">
        <v>#N/A</v>
      </c>
      <c r="E238" s="96"/>
      <c r="F238" s="99"/>
      <c r="G238" s="99"/>
      <c r="H238" s="102"/>
      <c r="I238" s="102"/>
      <c r="J238" s="99"/>
      <c r="K238" s="99"/>
      <c r="L238" s="99"/>
      <c r="M238" s="99"/>
      <c r="N238" s="99"/>
      <c r="O238" s="96"/>
      <c r="P238" s="96"/>
      <c r="Q238" s="15" t="e">
        <v>#N/A</v>
      </c>
      <c r="R238" s="15" t="e">
        <v>#N/A</v>
      </c>
      <c r="S238" s="15"/>
      <c r="T238" s="100"/>
      <c r="U238" s="15"/>
      <c r="V238" s="15"/>
      <c r="W238" s="101"/>
      <c r="X238" s="96"/>
      <c r="Y238" s="69">
        <f ca="1">Table25[[#This Row],[End Date]]+2-TODAY()</f>
        <v>-45775</v>
      </c>
      <c r="Z238" s="15">
        <f>IF(ISBLANK(Table25[[#This Row],[Roster Received By]]),1,0)</f>
        <v>1</v>
      </c>
      <c r="AA238" s="15">
        <f ca="1">IF(Table25[[#This Row],[Start Date]]&gt;TODAY(),1,)</f>
        <v>0</v>
      </c>
    </row>
    <row r="239" spans="1:27" s="61" customFormat="1" hidden="1" x14ac:dyDescent="0.25">
      <c r="B239" s="113"/>
      <c r="C239" s="97" t="e">
        <v>#N/A</v>
      </c>
      <c r="D239" s="97" t="e">
        <v>#N/A</v>
      </c>
      <c r="E239" s="96"/>
      <c r="F239" s="99"/>
      <c r="G239" s="99"/>
      <c r="H239" s="102"/>
      <c r="I239" s="102"/>
      <c r="J239" s="102"/>
      <c r="K239" s="102"/>
      <c r="L239" s="102"/>
      <c r="M239" s="102"/>
      <c r="N239" s="99"/>
      <c r="O239" s="96"/>
      <c r="P239" s="96"/>
      <c r="Q239" s="15" t="e">
        <v>#N/A</v>
      </c>
      <c r="R239" s="15" t="e">
        <v>#N/A</v>
      </c>
      <c r="S239" s="15"/>
      <c r="T239" s="100"/>
      <c r="U239" s="15"/>
      <c r="V239" s="15"/>
      <c r="W239" s="15"/>
      <c r="X239" s="96"/>
      <c r="Y239" s="69">
        <f ca="1">Table25[[#This Row],[End Date]]+2-TODAY()</f>
        <v>-45775</v>
      </c>
      <c r="Z239" s="15">
        <f>IF(ISBLANK(Table25[[#This Row],[Roster Received By]]),1,0)</f>
        <v>1</v>
      </c>
      <c r="AA239" s="15">
        <f ca="1">IF(Table25[[#This Row],[Start Date]]&gt;TODAY(),1,)</f>
        <v>0</v>
      </c>
    </row>
    <row r="240" spans="1:27" s="61" customFormat="1" hidden="1" x14ac:dyDescent="0.25">
      <c r="B240" s="113"/>
      <c r="C240" s="97" t="e">
        <v>#N/A</v>
      </c>
      <c r="D240" s="97" t="e">
        <v>#N/A</v>
      </c>
      <c r="E240" s="96"/>
      <c r="F240" s="99"/>
      <c r="G240" s="99"/>
      <c r="H240" s="102"/>
      <c r="I240" s="102"/>
      <c r="J240" s="99"/>
      <c r="K240" s="99"/>
      <c r="L240" s="99"/>
      <c r="M240" s="99"/>
      <c r="N240" s="99"/>
      <c r="O240" s="96"/>
      <c r="P240" s="96"/>
      <c r="Q240" s="15" t="e">
        <v>#N/A</v>
      </c>
      <c r="R240" s="15" t="e">
        <v>#N/A</v>
      </c>
      <c r="S240" s="15"/>
      <c r="T240" s="100"/>
      <c r="U240" s="15"/>
      <c r="V240" s="15"/>
      <c r="W240" s="15"/>
      <c r="X240" s="96"/>
      <c r="Y240" s="69">
        <f ca="1">Table25[[#This Row],[End Date]]+2-TODAY()</f>
        <v>-45775</v>
      </c>
      <c r="Z240" s="15">
        <f>IF(ISBLANK(Table25[[#This Row],[Roster Received By]]),1,0)</f>
        <v>1</v>
      </c>
      <c r="AA240" s="15">
        <f ca="1">IF(Table25[[#This Row],[Start Date]]&gt;TODAY(),1,)</f>
        <v>0</v>
      </c>
    </row>
    <row r="241" spans="1:27" s="61" customFormat="1" hidden="1" x14ac:dyDescent="0.25">
      <c r="B241" s="113"/>
      <c r="C241" s="97" t="e">
        <v>#N/A</v>
      </c>
      <c r="D241" s="97" t="e">
        <v>#N/A</v>
      </c>
      <c r="E241" s="96"/>
      <c r="F241" s="99"/>
      <c r="G241" s="99"/>
      <c r="H241" s="99"/>
      <c r="I241" s="98"/>
      <c r="J241" s="98"/>
      <c r="K241" s="98"/>
      <c r="L241" s="98"/>
      <c r="M241" s="98"/>
      <c r="N241" s="98"/>
      <c r="O241" s="96"/>
      <c r="P241" s="96"/>
      <c r="Q241" s="15" t="e">
        <v>#N/A</v>
      </c>
      <c r="R241" s="15" t="e">
        <v>#N/A</v>
      </c>
      <c r="S241" s="15"/>
      <c r="T241" s="100"/>
      <c r="U241" s="15"/>
      <c r="V241" s="15"/>
      <c r="W241" s="15"/>
      <c r="X241" s="96"/>
      <c r="Y241" s="69">
        <f ca="1">Table25[[#This Row],[End Date]]+2-TODAY()</f>
        <v>-45775</v>
      </c>
      <c r="Z241" s="15">
        <f>IF(ISBLANK(Table25[[#This Row],[Roster Received By]]),1,0)</f>
        <v>1</v>
      </c>
      <c r="AA241" s="15">
        <f ca="1">IF(Table25[[#This Row],[Start Date]]&gt;TODAY(),1,)</f>
        <v>0</v>
      </c>
    </row>
    <row r="242" spans="1:27" s="61" customFormat="1" hidden="1" x14ac:dyDescent="0.25">
      <c r="B242" s="96"/>
      <c r="C242" s="97" t="e">
        <v>#N/A</v>
      </c>
      <c r="D242" s="97" t="e">
        <v>#N/A</v>
      </c>
      <c r="E242" s="96"/>
      <c r="F242" s="99"/>
      <c r="G242" s="99"/>
      <c r="H242" s="105"/>
      <c r="I242" s="105"/>
      <c r="J242" s="99"/>
      <c r="K242" s="99"/>
      <c r="L242" s="99"/>
      <c r="M242" s="99"/>
      <c r="N242" s="99"/>
      <c r="O242" s="96"/>
      <c r="P242" s="96"/>
      <c r="Q242" s="15" t="e">
        <v>#N/A</v>
      </c>
      <c r="R242" s="15" t="e">
        <v>#N/A</v>
      </c>
      <c r="S242" s="15"/>
      <c r="T242" s="100"/>
      <c r="U242" s="15"/>
      <c r="V242" s="15"/>
      <c r="W242" s="15"/>
      <c r="X242" s="96"/>
      <c r="Y242" s="69">
        <f ca="1">Table25[[#This Row],[End Date]]+2-TODAY()</f>
        <v>-45775</v>
      </c>
      <c r="Z242" s="15">
        <f>IF(ISBLANK(Table25[[#This Row],[Roster Received By]]),1,0)</f>
        <v>1</v>
      </c>
      <c r="AA242" s="15">
        <f ca="1">IF(Table25[[#This Row],[Start Date]]&gt;TODAY(),1,)</f>
        <v>0</v>
      </c>
    </row>
    <row r="243" spans="1:27" s="61" customFormat="1" hidden="1" x14ac:dyDescent="0.25">
      <c r="B243" s="96"/>
      <c r="C243" s="97" t="e">
        <v>#N/A</v>
      </c>
      <c r="D243" s="97" t="e">
        <v>#N/A</v>
      </c>
      <c r="E243" s="96"/>
      <c r="F243" s="99"/>
      <c r="G243" s="99"/>
      <c r="H243" s="99"/>
      <c r="I243" s="98"/>
      <c r="J243" s="98"/>
      <c r="K243" s="98"/>
      <c r="L243" s="98"/>
      <c r="M243" s="98"/>
      <c r="N243" s="98"/>
      <c r="O243" s="96"/>
      <c r="P243" s="96"/>
      <c r="Q243" s="15" t="e">
        <v>#N/A</v>
      </c>
      <c r="R243" s="15" t="e">
        <v>#N/A</v>
      </c>
      <c r="S243" s="15"/>
      <c r="T243" s="100"/>
      <c r="U243" s="15"/>
      <c r="V243" s="15"/>
      <c r="W243" s="15"/>
      <c r="X243" s="96"/>
      <c r="Y243" s="69">
        <f ca="1">Table25[[#This Row],[End Date]]+2-TODAY()</f>
        <v>-45775</v>
      </c>
      <c r="Z243" s="15">
        <f>IF(ISBLANK(Table25[[#This Row],[Roster Received By]]),1,0)</f>
        <v>1</v>
      </c>
      <c r="AA243" s="15">
        <f ca="1">IF(Table25[[#This Row],[Start Date]]&gt;TODAY(),1,)</f>
        <v>0</v>
      </c>
    </row>
    <row r="244" spans="1:27" s="61" customFormat="1" hidden="1" x14ac:dyDescent="0.25">
      <c r="B244" s="123"/>
      <c r="C244" s="97" t="e">
        <v>#N/A</v>
      </c>
      <c r="D244" s="97" t="e">
        <v>#N/A</v>
      </c>
      <c r="E244" s="96"/>
      <c r="F244" s="99"/>
      <c r="G244" s="99"/>
      <c r="H244" s="99"/>
      <c r="I244" s="98"/>
      <c r="J244" s="98"/>
      <c r="K244" s="98"/>
      <c r="L244" s="98"/>
      <c r="M244" s="98"/>
      <c r="N244" s="98"/>
      <c r="O244" s="96"/>
      <c r="P244" s="96"/>
      <c r="Q244" s="15" t="e">
        <v>#N/A</v>
      </c>
      <c r="R244" s="15" t="e">
        <v>#N/A</v>
      </c>
      <c r="S244" s="15"/>
      <c r="T244" s="100"/>
      <c r="U244" s="15"/>
      <c r="V244" s="15"/>
      <c r="W244" s="97"/>
      <c r="X244" s="96"/>
      <c r="Y244" s="69">
        <f ca="1">Table25[[#This Row],[End Date]]+2-TODAY()</f>
        <v>-45775</v>
      </c>
      <c r="Z244" s="15">
        <f>IF(ISBLANK(Table25[[#This Row],[Roster Received By]]),1,0)</f>
        <v>1</v>
      </c>
      <c r="AA244" s="15">
        <f ca="1">IF(Table25[[#This Row],[Start Date]]&gt;TODAY(),1,)</f>
        <v>0</v>
      </c>
    </row>
    <row r="245" spans="1:27" s="61" customFormat="1" hidden="1" x14ac:dyDescent="0.25">
      <c r="B245" s="113"/>
      <c r="C245" s="97" t="e">
        <v>#N/A</v>
      </c>
      <c r="D245" s="97" t="e">
        <v>#N/A</v>
      </c>
      <c r="E245" s="96"/>
      <c r="F245" s="99"/>
      <c r="G245" s="99"/>
      <c r="H245" s="99"/>
      <c r="I245" s="98"/>
      <c r="J245" s="98"/>
      <c r="K245" s="98"/>
      <c r="L245" s="98"/>
      <c r="M245" s="98"/>
      <c r="N245" s="98"/>
      <c r="O245" s="96"/>
      <c r="P245" s="96"/>
      <c r="Q245" s="15" t="e">
        <v>#N/A</v>
      </c>
      <c r="R245" s="15" t="e">
        <v>#N/A</v>
      </c>
      <c r="S245" s="15"/>
      <c r="T245" s="100"/>
      <c r="U245" s="15"/>
      <c r="V245" s="15"/>
      <c r="W245" s="15"/>
      <c r="X245" s="96"/>
      <c r="Y245" s="69">
        <f ca="1">Table25[[#This Row],[End Date]]+2-TODAY()</f>
        <v>-45775</v>
      </c>
      <c r="Z245" s="15">
        <f>IF(ISBLANK(Table25[[#This Row],[Roster Received By]]),1,0)</f>
        <v>1</v>
      </c>
      <c r="AA245" s="15">
        <f ca="1">IF(Table25[[#This Row],[Start Date]]&gt;TODAY(),1,)</f>
        <v>0</v>
      </c>
    </row>
    <row r="246" spans="1:27" s="61" customFormat="1" hidden="1" x14ac:dyDescent="0.25">
      <c r="B246" s="113"/>
      <c r="C246" s="97" t="e">
        <v>#N/A</v>
      </c>
      <c r="D246" s="97" t="e">
        <v>#N/A</v>
      </c>
      <c r="E246" s="96"/>
      <c r="F246" s="99"/>
      <c r="G246" s="99"/>
      <c r="H246" s="102"/>
      <c r="I246" s="102"/>
      <c r="J246" s="102"/>
      <c r="K246" s="102"/>
      <c r="L246" s="102"/>
      <c r="M246" s="102"/>
      <c r="N246" s="99"/>
      <c r="O246" s="96"/>
      <c r="P246" s="96"/>
      <c r="Q246" s="15" t="e">
        <v>#N/A</v>
      </c>
      <c r="R246" s="15" t="e">
        <v>#N/A</v>
      </c>
      <c r="S246" s="15"/>
      <c r="T246" s="100"/>
      <c r="U246" s="15"/>
      <c r="V246" s="15"/>
      <c r="W246" s="15"/>
      <c r="X246" s="96"/>
      <c r="Y246" s="69">
        <f ca="1">Table25[[#This Row],[End Date]]+2-TODAY()</f>
        <v>-45775</v>
      </c>
      <c r="Z246" s="15">
        <f>IF(ISBLANK(Table25[[#This Row],[Roster Received By]]),1,0)</f>
        <v>1</v>
      </c>
      <c r="AA246" s="15">
        <f ca="1">IF(Table25[[#This Row],[Start Date]]&gt;TODAY(),1,)</f>
        <v>0</v>
      </c>
    </row>
    <row r="247" spans="1:27" s="61" customFormat="1" hidden="1" x14ac:dyDescent="0.25">
      <c r="B247" s="113"/>
      <c r="C247" s="97" t="e">
        <v>#N/A</v>
      </c>
      <c r="D247" s="97" t="e">
        <v>#N/A</v>
      </c>
      <c r="E247" s="113"/>
      <c r="F247" s="95"/>
      <c r="G247" s="107"/>
      <c r="H247" s="99"/>
      <c r="I247" s="98"/>
      <c r="J247" s="98"/>
      <c r="K247" s="98"/>
      <c r="L247" s="98"/>
      <c r="M247" s="98"/>
      <c r="N247" s="98"/>
      <c r="O247" s="96"/>
      <c r="P247" s="96"/>
      <c r="Q247" s="15" t="e">
        <v>#N/A</v>
      </c>
      <c r="R247" s="15" t="e">
        <v>#N/A</v>
      </c>
      <c r="S247" s="15"/>
      <c r="T247" s="100"/>
      <c r="U247" s="15"/>
      <c r="V247" s="15"/>
      <c r="W247" s="15"/>
      <c r="X247" s="96"/>
      <c r="Y247" s="69">
        <f ca="1">Table25[[#This Row],[End Date]]+2-TODAY()</f>
        <v>-45775</v>
      </c>
      <c r="Z247" s="15">
        <f>IF(ISBLANK(Table25[[#This Row],[Roster Received By]]),1,0)</f>
        <v>1</v>
      </c>
      <c r="AA247" s="15">
        <f ca="1">IF(Table25[[#This Row],[Start Date]]&gt;TODAY(),1,)</f>
        <v>0</v>
      </c>
    </row>
    <row r="248" spans="1:27" s="61" customFormat="1" hidden="1" x14ac:dyDescent="0.25">
      <c r="B248" s="96"/>
      <c r="C248" s="97" t="e">
        <v>#N/A</v>
      </c>
      <c r="D248" s="97" t="e">
        <v>#N/A</v>
      </c>
      <c r="E248" s="96"/>
      <c r="F248" s="99"/>
      <c r="G248" s="99"/>
      <c r="H248" s="102"/>
      <c r="I248" s="102"/>
      <c r="J248" s="99"/>
      <c r="K248" s="99"/>
      <c r="L248" s="99"/>
      <c r="M248" s="99"/>
      <c r="N248" s="99"/>
      <c r="O248" s="96"/>
      <c r="P248" s="96"/>
      <c r="Q248" s="15" t="e">
        <v>#N/A</v>
      </c>
      <c r="R248" s="15" t="e">
        <v>#N/A</v>
      </c>
      <c r="S248" s="15"/>
      <c r="T248" s="100"/>
      <c r="U248" s="15"/>
      <c r="V248" s="15"/>
      <c r="W248" s="15"/>
      <c r="X248" s="96"/>
      <c r="Y248" s="69">
        <f ca="1">Table25[[#This Row],[End Date]]+2-TODAY()</f>
        <v>-45775</v>
      </c>
      <c r="Z248" s="15">
        <f>IF(ISBLANK(Table25[[#This Row],[Roster Received By]]),1,0)</f>
        <v>1</v>
      </c>
      <c r="AA248" s="15">
        <f ca="1">IF(Table25[[#This Row],[Start Date]]&gt;TODAY(),1,)</f>
        <v>0</v>
      </c>
    </row>
    <row r="249" spans="1:27" s="61" customFormat="1" hidden="1" x14ac:dyDescent="0.25">
      <c r="B249" s="113"/>
      <c r="C249" s="97" t="e">
        <v>#N/A</v>
      </c>
      <c r="D249" s="97" t="e">
        <v>#N/A</v>
      </c>
      <c r="E249" s="65"/>
      <c r="F249" s="95"/>
      <c r="G249" s="107"/>
      <c r="H249" s="102"/>
      <c r="I249" s="102"/>
      <c r="J249" s="99"/>
      <c r="K249" s="99"/>
      <c r="L249" s="99"/>
      <c r="M249" s="99"/>
      <c r="N249" s="99"/>
      <c r="O249" s="96"/>
      <c r="P249" s="96"/>
      <c r="Q249" s="15" t="e">
        <v>#N/A</v>
      </c>
      <c r="R249" s="15" t="e">
        <v>#N/A</v>
      </c>
      <c r="S249" s="15"/>
      <c r="T249" s="100"/>
      <c r="U249" s="15"/>
      <c r="V249" s="15"/>
      <c r="W249" s="97"/>
      <c r="X249" s="96"/>
      <c r="Y249" s="69">
        <f ca="1">Table25[[#This Row],[End Date]]+2-TODAY()</f>
        <v>-45775</v>
      </c>
      <c r="Z249" s="15">
        <f>IF(ISBLANK(Table25[[#This Row],[Roster Received By]]),1,0)</f>
        <v>1</v>
      </c>
      <c r="AA249" s="15">
        <f ca="1">IF(Table25[[#This Row],[Start Date]]&gt;TODAY(),1,)</f>
        <v>0</v>
      </c>
    </row>
    <row r="250" spans="1:27" s="61" customFormat="1" hidden="1" x14ac:dyDescent="0.25">
      <c r="B250" s="65"/>
      <c r="C250" s="97" t="e">
        <v>#N/A</v>
      </c>
      <c r="D250" s="97" t="e">
        <v>#N/A</v>
      </c>
      <c r="E250" s="127"/>
      <c r="F250" s="95"/>
      <c r="G250" s="95"/>
      <c r="H250" s="98"/>
      <c r="I250" s="98"/>
      <c r="J250" s="99"/>
      <c r="K250" s="99"/>
      <c r="L250" s="99"/>
      <c r="M250" s="99"/>
      <c r="N250" s="99"/>
      <c r="O250" s="96"/>
      <c r="P250" s="96"/>
      <c r="Q250" s="15" t="e">
        <v>#N/A</v>
      </c>
      <c r="R250" s="15" t="e">
        <v>#N/A</v>
      </c>
      <c r="S250" s="15"/>
      <c r="T250" s="100"/>
      <c r="U250" s="15"/>
      <c r="V250" s="15"/>
      <c r="W250" s="15"/>
      <c r="X250" s="96"/>
      <c r="Y250" s="69">
        <f ca="1">Table25[[#This Row],[End Date]]+2-TODAY()</f>
        <v>-45775</v>
      </c>
      <c r="Z250" s="15">
        <f>IF(ISBLANK(Table25[[#This Row],[Roster Received By]]),1,0)</f>
        <v>1</v>
      </c>
      <c r="AA250" s="15">
        <f ca="1">IF(Table25[[#This Row],[Start Date]]&gt;TODAY(),1,)</f>
        <v>0</v>
      </c>
    </row>
    <row r="251" spans="1:27" s="61" customFormat="1" hidden="1" x14ac:dyDescent="0.25">
      <c r="B251" s="113"/>
      <c r="C251" s="97" t="e">
        <v>#N/A</v>
      </c>
      <c r="D251" s="97" t="e">
        <v>#N/A</v>
      </c>
      <c r="E251" s="113"/>
      <c r="F251" s="107"/>
      <c r="G251" s="107"/>
      <c r="H251" s="99"/>
      <c r="I251" s="98"/>
      <c r="J251" s="98"/>
      <c r="K251" s="98"/>
      <c r="L251" s="98"/>
      <c r="M251" s="98"/>
      <c r="N251" s="98"/>
      <c r="O251" s="96"/>
      <c r="P251" s="96"/>
      <c r="Q251" s="15" t="e">
        <v>#N/A</v>
      </c>
      <c r="R251" s="15" t="e">
        <v>#N/A</v>
      </c>
      <c r="S251" s="15"/>
      <c r="T251" s="100"/>
      <c r="U251" s="15"/>
      <c r="V251" s="15"/>
      <c r="W251" s="15"/>
      <c r="X251" s="96"/>
      <c r="Y251" s="69">
        <f ca="1">Table25[[#This Row],[End Date]]+2-TODAY()</f>
        <v>-45775</v>
      </c>
      <c r="Z251" s="15">
        <f>IF(ISBLANK(Table25[[#This Row],[Roster Received By]]),1,0)</f>
        <v>1</v>
      </c>
      <c r="AA251" s="15">
        <f ca="1">IF(Table25[[#This Row],[Start Date]]&gt;TODAY(),1,)</f>
        <v>0</v>
      </c>
    </row>
    <row r="252" spans="1:27" s="61" customFormat="1" hidden="1" x14ac:dyDescent="0.25">
      <c r="B252" s="113"/>
      <c r="C252" s="97" t="e">
        <v>#N/A</v>
      </c>
      <c r="D252" s="97" t="e">
        <v>#N/A</v>
      </c>
      <c r="E252" s="113"/>
      <c r="F252" s="107"/>
      <c r="G252" s="107"/>
      <c r="H252" s="99"/>
      <c r="I252" s="98"/>
      <c r="J252" s="98"/>
      <c r="K252" s="98"/>
      <c r="L252" s="98"/>
      <c r="M252" s="98"/>
      <c r="N252" s="98"/>
      <c r="O252" s="96"/>
      <c r="P252" s="96"/>
      <c r="Q252" s="15" t="e">
        <v>#N/A</v>
      </c>
      <c r="R252" s="15" t="e">
        <v>#N/A</v>
      </c>
      <c r="S252" s="15"/>
      <c r="T252" s="100"/>
      <c r="U252" s="15"/>
      <c r="V252" s="15"/>
      <c r="W252" s="97"/>
      <c r="X252" s="96"/>
      <c r="Y252" s="69">
        <f ca="1">Table25[[#This Row],[End Date]]+2-TODAY()</f>
        <v>-45775</v>
      </c>
      <c r="Z252" s="15">
        <f>IF(ISBLANK(Table25[[#This Row],[Roster Received By]]),1,0)</f>
        <v>1</v>
      </c>
      <c r="AA252" s="15">
        <f ca="1">IF(Table25[[#This Row],[Start Date]]&gt;TODAY(),1,)</f>
        <v>0</v>
      </c>
    </row>
    <row r="253" spans="1:27" s="61" customFormat="1" hidden="1" x14ac:dyDescent="0.25">
      <c r="B253" s="113"/>
      <c r="C253" s="97" t="e">
        <v>#N/A</v>
      </c>
      <c r="D253" s="97" t="e">
        <v>#N/A</v>
      </c>
      <c r="E253" s="113"/>
      <c r="F253" s="107"/>
      <c r="G253" s="107"/>
      <c r="H253" s="99"/>
      <c r="I253" s="98"/>
      <c r="J253" s="98"/>
      <c r="K253" s="98"/>
      <c r="L253" s="98"/>
      <c r="M253" s="98"/>
      <c r="N253" s="98"/>
      <c r="O253" s="96"/>
      <c r="P253" s="96"/>
      <c r="Q253" s="15" t="e">
        <v>#N/A</v>
      </c>
      <c r="R253" s="15" t="e">
        <v>#N/A</v>
      </c>
      <c r="S253" s="15"/>
      <c r="T253" s="100"/>
      <c r="U253" s="15"/>
      <c r="V253" s="15"/>
      <c r="W253" s="15"/>
      <c r="X253" s="96"/>
      <c r="Y253" s="69">
        <f ca="1">Table25[[#This Row],[End Date]]+2-TODAY()</f>
        <v>-45775</v>
      </c>
      <c r="Z253" s="15">
        <f>IF(ISBLANK(Table25[[#This Row],[Roster Received By]]),1,0)</f>
        <v>1</v>
      </c>
      <c r="AA253" s="15">
        <f ca="1">IF(Table25[[#This Row],[Start Date]]&gt;TODAY(),1,)</f>
        <v>0</v>
      </c>
    </row>
    <row r="254" spans="1:27" s="61" customFormat="1" hidden="1" x14ac:dyDescent="0.25">
      <c r="A254" s="64"/>
      <c r="B254" s="113"/>
      <c r="C254" s="97" t="e">
        <v>#N/A</v>
      </c>
      <c r="D254" s="97" t="e">
        <v>#N/A</v>
      </c>
      <c r="E254" s="113"/>
      <c r="F254" s="107"/>
      <c r="G254" s="107"/>
      <c r="H254" s="99"/>
      <c r="I254" s="98"/>
      <c r="J254" s="98"/>
      <c r="K254" s="98"/>
      <c r="L254" s="98"/>
      <c r="M254" s="98"/>
      <c r="N254" s="98"/>
      <c r="O254" s="96"/>
      <c r="P254" s="96"/>
      <c r="Q254" s="15" t="e">
        <v>#N/A</v>
      </c>
      <c r="R254" s="15" t="e">
        <v>#N/A</v>
      </c>
      <c r="S254" s="15"/>
      <c r="T254" s="100"/>
      <c r="U254" s="15"/>
      <c r="V254" s="15"/>
      <c r="W254" s="15"/>
      <c r="X254" s="96"/>
      <c r="Y254" s="69">
        <f ca="1">Table25[[#This Row],[End Date]]+2-TODAY()</f>
        <v>-45775</v>
      </c>
      <c r="Z254" s="15">
        <f>IF(ISBLANK(Table25[[#This Row],[Roster Received By]]),1,0)</f>
        <v>1</v>
      </c>
      <c r="AA254" s="15">
        <f ca="1">IF(Table25[[#This Row],[Start Date]]&gt;TODAY(),1,)</f>
        <v>0</v>
      </c>
    </row>
    <row r="255" spans="1:27" s="61" customFormat="1" hidden="1" x14ac:dyDescent="0.25">
      <c r="B255" s="113"/>
      <c r="C255" s="97" t="e">
        <v>#N/A</v>
      </c>
      <c r="D255" s="97" t="e">
        <v>#N/A</v>
      </c>
      <c r="E255" s="113"/>
      <c r="F255" s="107"/>
      <c r="G255" s="107"/>
      <c r="H255" s="105"/>
      <c r="I255" s="105"/>
      <c r="J255" s="99"/>
      <c r="K255" s="99"/>
      <c r="L255" s="99"/>
      <c r="M255" s="99"/>
      <c r="N255" s="99"/>
      <c r="O255" s="96"/>
      <c r="P255" s="96"/>
      <c r="Q255" s="15" t="e">
        <v>#N/A</v>
      </c>
      <c r="R255" s="15" t="e">
        <v>#N/A</v>
      </c>
      <c r="S255" s="15"/>
      <c r="T255" s="100"/>
      <c r="U255" s="15"/>
      <c r="V255" s="15"/>
      <c r="W255" s="15"/>
      <c r="X255" s="96"/>
      <c r="Y255" s="69">
        <f ca="1">Table25[[#This Row],[End Date]]+2-TODAY()</f>
        <v>-45775</v>
      </c>
      <c r="Z255" s="15">
        <f>IF(ISBLANK(Table25[[#This Row],[Roster Received By]]),1,0)</f>
        <v>1</v>
      </c>
      <c r="AA255" s="15">
        <f ca="1">IF(Table25[[#This Row],[Start Date]]&gt;TODAY(),1,)</f>
        <v>0</v>
      </c>
    </row>
    <row r="256" spans="1:27" s="61" customFormat="1" hidden="1" x14ac:dyDescent="0.25">
      <c r="B256" s="113"/>
      <c r="C256" s="97" t="e">
        <v>#N/A</v>
      </c>
      <c r="D256" s="97" t="e">
        <v>#N/A</v>
      </c>
      <c r="E256" s="113"/>
      <c r="F256" s="107"/>
      <c r="G256" s="107"/>
      <c r="H256" s="98"/>
      <c r="I256" s="102"/>
      <c r="J256" s="99"/>
      <c r="K256" s="99"/>
      <c r="L256" s="99"/>
      <c r="M256" s="99"/>
      <c r="N256" s="99"/>
      <c r="O256" s="96"/>
      <c r="P256" s="96"/>
      <c r="Q256" s="15" t="e">
        <v>#N/A</v>
      </c>
      <c r="R256" s="15" t="e">
        <v>#N/A</v>
      </c>
      <c r="S256" s="100"/>
      <c r="T256" s="100"/>
      <c r="U256" s="15"/>
      <c r="V256" s="15"/>
      <c r="W256" s="15"/>
      <c r="X256" s="96"/>
      <c r="Y256" s="69">
        <f ca="1">Table25[[#This Row],[End Date]]+2-TODAY()</f>
        <v>-45775</v>
      </c>
      <c r="Z256" s="15">
        <f>IF(ISBLANK(Table25[[#This Row],[Roster Received By]]),1,0)</f>
        <v>1</v>
      </c>
      <c r="AA256" s="15">
        <f ca="1">IF(Table25[[#This Row],[Start Date]]&gt;TODAY(),1,)</f>
        <v>0</v>
      </c>
    </row>
    <row r="257" spans="1:27" s="61" customFormat="1" hidden="1" x14ac:dyDescent="0.25">
      <c r="B257" s="113"/>
      <c r="C257" s="97" t="e">
        <v>#N/A</v>
      </c>
      <c r="D257" s="97" t="e">
        <v>#N/A</v>
      </c>
      <c r="E257" s="113"/>
      <c r="F257" s="107"/>
      <c r="G257" s="107"/>
      <c r="H257" s="102"/>
      <c r="I257" s="102"/>
      <c r="J257" s="102"/>
      <c r="K257" s="102"/>
      <c r="L257" s="102"/>
      <c r="M257" s="102"/>
      <c r="N257" s="102"/>
      <c r="O257" s="96"/>
      <c r="P257" s="96"/>
      <c r="Q257" s="15" t="e">
        <v>#N/A</v>
      </c>
      <c r="R257" s="15" t="e">
        <v>#N/A</v>
      </c>
      <c r="S257" s="100"/>
      <c r="T257" s="100"/>
      <c r="U257" s="15"/>
      <c r="V257" s="15"/>
      <c r="W257" s="15"/>
      <c r="X257" s="96"/>
      <c r="Y257" s="69">
        <f ca="1">Table25[[#This Row],[End Date]]+2-TODAY()</f>
        <v>-45775</v>
      </c>
      <c r="Z257" s="15">
        <f>IF(ISBLANK(Table25[[#This Row],[Roster Received By]]),1,0)</f>
        <v>1</v>
      </c>
      <c r="AA257" s="15">
        <f ca="1">IF(Table25[[#This Row],[Start Date]]&gt;TODAY(),1,)</f>
        <v>0</v>
      </c>
    </row>
    <row r="258" spans="1:27" s="61" customFormat="1" hidden="1" x14ac:dyDescent="0.25">
      <c r="B258" s="113"/>
      <c r="C258" s="97" t="e">
        <v>#N/A</v>
      </c>
      <c r="D258" s="97" t="e">
        <v>#N/A</v>
      </c>
      <c r="E258" s="127"/>
      <c r="F258" s="95"/>
      <c r="G258" s="95"/>
      <c r="H258" s="98"/>
      <c r="I258" s="98"/>
      <c r="J258" s="99"/>
      <c r="K258" s="99"/>
      <c r="L258" s="99"/>
      <c r="M258" s="99"/>
      <c r="N258" s="99"/>
      <c r="O258" s="96"/>
      <c r="P258" s="96"/>
      <c r="Q258" s="15" t="e">
        <v>#N/A</v>
      </c>
      <c r="R258" s="15" t="e">
        <v>#N/A</v>
      </c>
      <c r="S258" s="15"/>
      <c r="T258" s="100"/>
      <c r="U258" s="15"/>
      <c r="V258" s="15"/>
      <c r="W258" s="100"/>
      <c r="X258" s="96"/>
      <c r="Y258" s="69">
        <f ca="1">Table25[[#This Row],[End Date]]+2-TODAY()</f>
        <v>-45775</v>
      </c>
      <c r="Z258" s="15">
        <f>IF(ISBLANK(Table25[[#This Row],[Roster Received By]]),1,0)</f>
        <v>1</v>
      </c>
      <c r="AA258" s="15">
        <f ca="1">IF(Table25[[#This Row],[Start Date]]&gt;TODAY(),1,)</f>
        <v>0</v>
      </c>
    </row>
    <row r="259" spans="1:27" s="61" customFormat="1" hidden="1" x14ac:dyDescent="0.25">
      <c r="B259" s="113"/>
      <c r="C259" s="97" t="e">
        <v>#N/A</v>
      </c>
      <c r="D259" s="97" t="e">
        <v>#N/A</v>
      </c>
      <c r="E259" s="96"/>
      <c r="F259" s="99"/>
      <c r="G259" s="99"/>
      <c r="H259" s="102"/>
      <c r="I259" s="102"/>
      <c r="J259" s="102"/>
      <c r="K259" s="102"/>
      <c r="L259" s="102"/>
      <c r="M259" s="102"/>
      <c r="N259" s="102"/>
      <c r="O259" s="96"/>
      <c r="P259" s="96"/>
      <c r="Q259" s="15" t="e">
        <v>#N/A</v>
      </c>
      <c r="R259" s="15" t="e">
        <v>#N/A</v>
      </c>
      <c r="S259" s="15"/>
      <c r="T259" s="100"/>
      <c r="U259" s="15"/>
      <c r="V259" s="15"/>
      <c r="W259" s="15"/>
      <c r="X259" s="96"/>
      <c r="Y259" s="69">
        <f ca="1">Table25[[#This Row],[End Date]]+2-TODAY()</f>
        <v>-45775</v>
      </c>
      <c r="Z259" s="15">
        <f>IF(ISBLANK(Table25[[#This Row],[Roster Received By]]),1,0)</f>
        <v>1</v>
      </c>
      <c r="AA259" s="15">
        <f ca="1">IF(Table25[[#This Row],[Start Date]]&gt;TODAY(),1,)</f>
        <v>0</v>
      </c>
    </row>
    <row r="260" spans="1:27" s="61" customFormat="1" hidden="1" x14ac:dyDescent="0.25">
      <c r="B260" s="114"/>
      <c r="C260" s="97" t="e">
        <v>#N/A</v>
      </c>
      <c r="D260" s="97" t="e">
        <v>#N/A</v>
      </c>
      <c r="E260" s="96"/>
      <c r="F260" s="99"/>
      <c r="G260" s="99"/>
      <c r="H260" s="99"/>
      <c r="I260" s="98"/>
      <c r="J260" s="98"/>
      <c r="K260" s="98"/>
      <c r="L260" s="98"/>
      <c r="M260" s="98"/>
      <c r="N260" s="98"/>
      <c r="O260" s="96"/>
      <c r="P260" s="96"/>
      <c r="Q260" s="15" t="e">
        <v>#N/A</v>
      </c>
      <c r="R260" s="15" t="e">
        <v>#N/A</v>
      </c>
      <c r="S260" s="15"/>
      <c r="T260" s="100"/>
      <c r="U260" s="15"/>
      <c r="V260" s="15"/>
      <c r="W260" s="15"/>
      <c r="X260" s="96"/>
      <c r="Y260" s="69">
        <f ca="1">Table25[[#This Row],[End Date]]+2-TODAY()</f>
        <v>-45775</v>
      </c>
      <c r="Z260" s="15">
        <f>IF(ISBLANK(Table25[[#This Row],[Roster Received By]]),1,0)</f>
        <v>1</v>
      </c>
      <c r="AA260" s="15">
        <f ca="1">IF(Table25[[#This Row],[Start Date]]&gt;TODAY(),1,)</f>
        <v>0</v>
      </c>
    </row>
    <row r="261" spans="1:27" s="61" customFormat="1" hidden="1" x14ac:dyDescent="0.25">
      <c r="B261" s="114"/>
      <c r="C261" s="97" t="e">
        <v>#N/A</v>
      </c>
      <c r="D261" s="97" t="e">
        <v>#N/A</v>
      </c>
      <c r="E261" s="96"/>
      <c r="F261" s="99"/>
      <c r="G261" s="99"/>
      <c r="H261" s="99"/>
      <c r="I261" s="98"/>
      <c r="J261" s="98"/>
      <c r="K261" s="98"/>
      <c r="L261" s="98"/>
      <c r="M261" s="98"/>
      <c r="N261" s="98"/>
      <c r="O261" s="96"/>
      <c r="P261" s="96"/>
      <c r="Q261" s="15" t="e">
        <v>#N/A</v>
      </c>
      <c r="R261" s="15" t="e">
        <v>#N/A</v>
      </c>
      <c r="S261" s="15"/>
      <c r="T261" s="100"/>
      <c r="U261" s="15"/>
      <c r="V261" s="15"/>
      <c r="W261" s="15"/>
      <c r="X261" s="96"/>
      <c r="Y261" s="69">
        <f ca="1">Table25[[#This Row],[End Date]]+2-TODAY()</f>
        <v>-45775</v>
      </c>
      <c r="Z261" s="15">
        <f>IF(ISBLANK(Table25[[#This Row],[Roster Received By]]),1,0)</f>
        <v>1</v>
      </c>
      <c r="AA261" s="15">
        <f ca="1">IF(Table25[[#This Row],[Start Date]]&gt;TODAY(),1,)</f>
        <v>0</v>
      </c>
    </row>
    <row r="262" spans="1:27" s="61" customFormat="1" hidden="1" x14ac:dyDescent="0.25">
      <c r="B262" s="113"/>
      <c r="C262" s="97" t="e">
        <v>#N/A</v>
      </c>
      <c r="D262" s="97" t="e">
        <v>#N/A</v>
      </c>
      <c r="E262" s="96"/>
      <c r="F262" s="99"/>
      <c r="G262" s="99"/>
      <c r="H262" s="99"/>
      <c r="I262" s="98"/>
      <c r="J262" s="98"/>
      <c r="K262" s="98"/>
      <c r="L262" s="98"/>
      <c r="M262" s="98"/>
      <c r="N262" s="98"/>
      <c r="O262" s="96"/>
      <c r="P262" s="96"/>
      <c r="Q262" s="15" t="e">
        <v>#N/A</v>
      </c>
      <c r="R262" s="15" t="e">
        <v>#N/A</v>
      </c>
      <c r="S262" s="15"/>
      <c r="T262" s="100"/>
      <c r="U262" s="15"/>
      <c r="V262" s="15"/>
      <c r="W262" s="15"/>
      <c r="X262" s="96"/>
      <c r="Y262" s="69">
        <f ca="1">Table25[[#This Row],[End Date]]+2-TODAY()</f>
        <v>-45775</v>
      </c>
      <c r="Z262" s="15">
        <f>IF(ISBLANK(Table25[[#This Row],[Roster Received By]]),1,0)</f>
        <v>1</v>
      </c>
      <c r="AA262" s="15">
        <f ca="1">IF(Table25[[#This Row],[Start Date]]&gt;TODAY(),1,)</f>
        <v>0</v>
      </c>
    </row>
    <row r="263" spans="1:27" s="61" customFormat="1" hidden="1" x14ac:dyDescent="0.25">
      <c r="B263" s="113"/>
      <c r="C263" s="97" t="e">
        <v>#N/A</v>
      </c>
      <c r="D263" s="97" t="e">
        <v>#N/A</v>
      </c>
      <c r="E263" s="96"/>
      <c r="F263" s="99"/>
      <c r="G263" s="99"/>
      <c r="H263" s="99"/>
      <c r="I263" s="98"/>
      <c r="J263" s="98"/>
      <c r="K263" s="98"/>
      <c r="L263" s="98"/>
      <c r="M263" s="98"/>
      <c r="N263" s="98"/>
      <c r="O263" s="96"/>
      <c r="P263" s="96"/>
      <c r="Q263" s="15" t="e">
        <v>#N/A</v>
      </c>
      <c r="R263" s="15" t="e">
        <v>#N/A</v>
      </c>
      <c r="S263" s="15"/>
      <c r="T263" s="100"/>
      <c r="U263" s="15"/>
      <c r="V263" s="15"/>
      <c r="W263" s="15"/>
      <c r="X263" s="96"/>
      <c r="Y263" s="69">
        <f ca="1">Table25[[#This Row],[End Date]]+2-TODAY()</f>
        <v>-45775</v>
      </c>
      <c r="Z263" s="15">
        <f>IF(ISBLANK(Table25[[#This Row],[Roster Received By]]),1,0)</f>
        <v>1</v>
      </c>
      <c r="AA263" s="15">
        <f ca="1">IF(Table25[[#This Row],[Start Date]]&gt;TODAY(),1,)</f>
        <v>0</v>
      </c>
    </row>
    <row r="264" spans="1:27" s="61" customFormat="1" hidden="1" x14ac:dyDescent="0.25">
      <c r="B264" s="113"/>
      <c r="C264" s="97" t="e">
        <v>#N/A</v>
      </c>
      <c r="D264" s="97" t="e">
        <v>#N/A</v>
      </c>
      <c r="E264" s="96"/>
      <c r="F264" s="99"/>
      <c r="G264" s="99"/>
      <c r="H264" s="99"/>
      <c r="I264" s="98"/>
      <c r="J264" s="98"/>
      <c r="K264" s="98"/>
      <c r="L264" s="98"/>
      <c r="M264" s="98"/>
      <c r="N264" s="98"/>
      <c r="O264" s="96"/>
      <c r="P264" s="96"/>
      <c r="Q264" s="15" t="e">
        <v>#N/A</v>
      </c>
      <c r="R264" s="15" t="e">
        <v>#N/A</v>
      </c>
      <c r="S264" s="15"/>
      <c r="T264" s="100"/>
      <c r="U264" s="15"/>
      <c r="V264" s="15"/>
      <c r="W264" s="15"/>
      <c r="X264" s="96"/>
      <c r="Y264" s="69">
        <f ca="1">Table25[[#This Row],[End Date]]+2-TODAY()</f>
        <v>-45775</v>
      </c>
      <c r="Z264" s="15">
        <f>IF(ISBLANK(Table25[[#This Row],[Roster Received By]]),1,0)</f>
        <v>1</v>
      </c>
      <c r="AA264" s="15">
        <f ca="1">IF(Table25[[#This Row],[Start Date]]&gt;TODAY(),1,)</f>
        <v>0</v>
      </c>
    </row>
    <row r="265" spans="1:27" s="61" customFormat="1" hidden="1" x14ac:dyDescent="0.25">
      <c r="B265" s="113"/>
      <c r="C265" s="97" t="e">
        <v>#N/A</v>
      </c>
      <c r="D265" s="97" t="e">
        <v>#N/A</v>
      </c>
      <c r="E265" s="64"/>
      <c r="F265" s="99"/>
      <c r="G265" s="99"/>
      <c r="H265" s="102"/>
      <c r="I265" s="102"/>
      <c r="J265" s="99"/>
      <c r="K265" s="99"/>
      <c r="L265" s="99"/>
      <c r="M265" s="99"/>
      <c r="N265" s="99"/>
      <c r="O265" s="96"/>
      <c r="P265" s="96"/>
      <c r="Q265" s="15" t="e">
        <v>#N/A</v>
      </c>
      <c r="R265" s="15" t="e">
        <v>#N/A</v>
      </c>
      <c r="S265" s="15"/>
      <c r="T265" s="100"/>
      <c r="U265" s="15"/>
      <c r="V265" s="15"/>
      <c r="W265" s="15"/>
      <c r="X265" s="96"/>
      <c r="Y265" s="69">
        <f ca="1">Table25[[#This Row],[End Date]]+2-TODAY()</f>
        <v>-45775</v>
      </c>
      <c r="Z265" s="15">
        <f>IF(ISBLANK(Table25[[#This Row],[Roster Received By]]),1,0)</f>
        <v>1</v>
      </c>
      <c r="AA265" s="15">
        <f ca="1">IF(Table25[[#This Row],[Start Date]]&gt;TODAY(),1,)</f>
        <v>0</v>
      </c>
    </row>
    <row r="266" spans="1:27" s="61" customFormat="1" hidden="1" x14ac:dyDescent="0.25">
      <c r="B266" s="113"/>
      <c r="C266" s="97" t="e">
        <v>#N/A</v>
      </c>
      <c r="D266" s="97" t="e">
        <v>#N/A</v>
      </c>
      <c r="E266" s="96"/>
      <c r="F266" s="99"/>
      <c r="G266" s="99"/>
      <c r="H266" s="99"/>
      <c r="I266" s="98"/>
      <c r="J266" s="98"/>
      <c r="K266" s="98"/>
      <c r="L266" s="98"/>
      <c r="M266" s="98"/>
      <c r="N266" s="98"/>
      <c r="O266" s="96"/>
      <c r="P266" s="96"/>
      <c r="Q266" s="15" t="e">
        <v>#N/A</v>
      </c>
      <c r="R266" s="15" t="e">
        <v>#N/A</v>
      </c>
      <c r="S266" s="15"/>
      <c r="T266" s="100"/>
      <c r="U266" s="15"/>
      <c r="V266" s="15"/>
      <c r="W266" s="15"/>
      <c r="X266" s="96"/>
      <c r="Y266" s="69">
        <f ca="1">Table25[[#This Row],[End Date]]+2-TODAY()</f>
        <v>-45775</v>
      </c>
      <c r="Z266" s="15">
        <f>IF(ISBLANK(Table25[[#This Row],[Roster Received By]]),1,0)</f>
        <v>1</v>
      </c>
      <c r="AA266" s="15">
        <f ca="1">IF(Table25[[#This Row],[Start Date]]&gt;TODAY(),1,)</f>
        <v>0</v>
      </c>
    </row>
    <row r="267" spans="1:27" s="103" customFormat="1" ht="15.75" hidden="1" customHeight="1" x14ac:dyDescent="0.25">
      <c r="A267" s="61"/>
      <c r="B267" s="113"/>
      <c r="C267" s="97" t="e">
        <v>#N/A</v>
      </c>
      <c r="D267" s="97" t="e">
        <v>#N/A</v>
      </c>
      <c r="E267" s="96"/>
      <c r="F267" s="99"/>
      <c r="G267" s="99"/>
      <c r="H267" s="99"/>
      <c r="I267" s="98"/>
      <c r="J267" s="98"/>
      <c r="K267" s="98"/>
      <c r="L267" s="98"/>
      <c r="M267" s="98"/>
      <c r="N267" s="98"/>
      <c r="O267" s="96"/>
      <c r="P267" s="96"/>
      <c r="Q267" s="15" t="e">
        <v>#N/A</v>
      </c>
      <c r="R267" s="15" t="e">
        <v>#N/A</v>
      </c>
      <c r="S267" s="15"/>
      <c r="T267" s="100"/>
      <c r="U267" s="15"/>
      <c r="V267" s="15"/>
      <c r="W267" s="97"/>
      <c r="X267" s="96"/>
      <c r="Y267" s="69">
        <f ca="1">Table25[[#This Row],[End Date]]+2-TODAY()</f>
        <v>-45775</v>
      </c>
      <c r="Z267" s="15">
        <f>IF(ISBLANK(Table25[[#This Row],[Roster Received By]]),1,0)</f>
        <v>1</v>
      </c>
      <c r="AA267" s="15">
        <f ca="1">IF(Table25[[#This Row],[Start Date]]&gt;TODAY(),1,)</f>
        <v>0</v>
      </c>
    </row>
    <row r="268" spans="1:27" s="103" customFormat="1" ht="14.45" hidden="1" customHeight="1" x14ac:dyDescent="0.25">
      <c r="A268" s="61"/>
      <c r="B268" s="113"/>
      <c r="C268" s="97" t="e">
        <v>#N/A</v>
      </c>
      <c r="D268" s="97" t="e">
        <v>#N/A</v>
      </c>
      <c r="E268" s="64"/>
      <c r="F268" s="99"/>
      <c r="G268" s="99"/>
      <c r="H268" s="105"/>
      <c r="I268" s="105"/>
      <c r="J268" s="99"/>
      <c r="K268" s="99"/>
      <c r="L268" s="99"/>
      <c r="M268" s="99"/>
      <c r="N268" s="99"/>
      <c r="O268" s="96"/>
      <c r="P268" s="96"/>
      <c r="Q268" s="15" t="e">
        <v>#N/A</v>
      </c>
      <c r="R268" s="15" t="e">
        <v>#N/A</v>
      </c>
      <c r="S268" s="15"/>
      <c r="T268" s="100"/>
      <c r="U268" s="15"/>
      <c r="V268" s="15"/>
      <c r="W268" s="15"/>
      <c r="X268" s="96"/>
      <c r="Y268" s="69">
        <f ca="1">Table25[[#This Row],[End Date]]+2-TODAY()</f>
        <v>-45775</v>
      </c>
      <c r="Z268" s="15">
        <f>IF(ISBLANK(Table25[[#This Row],[Roster Received By]]),1,0)</f>
        <v>1</v>
      </c>
      <c r="AA268" s="15">
        <f ca="1">IF(Table25[[#This Row],[Start Date]]&gt;TODAY(),1,)</f>
        <v>0</v>
      </c>
    </row>
    <row r="269" spans="1:27" s="103" customFormat="1" ht="15.75" hidden="1" customHeight="1" x14ac:dyDescent="0.25">
      <c r="A269" s="61"/>
      <c r="B269" s="113"/>
      <c r="C269" s="97" t="e">
        <v>#N/A</v>
      </c>
      <c r="D269" s="97" t="e">
        <v>#N/A</v>
      </c>
      <c r="E269" s="108"/>
      <c r="F269" s="66"/>
      <c r="G269" s="66"/>
      <c r="H269" s="105"/>
      <c r="I269" s="105"/>
      <c r="J269" s="99"/>
      <c r="K269" s="99"/>
      <c r="L269" s="99"/>
      <c r="M269" s="99"/>
      <c r="N269" s="99"/>
      <c r="O269" s="96"/>
      <c r="P269" s="96"/>
      <c r="Q269" s="15" t="e">
        <v>#N/A</v>
      </c>
      <c r="R269" s="15" t="e">
        <v>#N/A</v>
      </c>
      <c r="S269" s="15"/>
      <c r="T269" s="100"/>
      <c r="U269" s="15"/>
      <c r="V269" s="15"/>
      <c r="W269" s="15"/>
      <c r="X269" s="96"/>
      <c r="Y269" s="69">
        <f ca="1">Table25[[#This Row],[End Date]]+2-TODAY()</f>
        <v>-45775</v>
      </c>
      <c r="Z269" s="15">
        <f>IF(ISBLANK(Table25[[#This Row],[Roster Received By]]),1,0)</f>
        <v>1</v>
      </c>
      <c r="AA269" s="15">
        <f ca="1">IF(Table25[[#This Row],[Start Date]]&gt;TODAY(),1,)</f>
        <v>0</v>
      </c>
    </row>
    <row r="270" spans="1:27" s="103" customFormat="1" ht="15.75" hidden="1" customHeight="1" x14ac:dyDescent="0.25">
      <c r="A270" s="61"/>
      <c r="B270" s="113"/>
      <c r="C270" s="97" t="e">
        <v>#N/A</v>
      </c>
      <c r="D270" s="97" t="e">
        <v>#N/A</v>
      </c>
      <c r="E270" s="96"/>
      <c r="F270" s="99"/>
      <c r="G270" s="99"/>
      <c r="H270" s="102"/>
      <c r="I270" s="102"/>
      <c r="J270" s="102"/>
      <c r="K270" s="102"/>
      <c r="L270" s="102"/>
      <c r="M270" s="102"/>
      <c r="N270" s="99"/>
      <c r="O270" s="96"/>
      <c r="P270" s="96"/>
      <c r="Q270" s="15" t="e">
        <v>#N/A</v>
      </c>
      <c r="R270" s="15" t="e">
        <v>#N/A</v>
      </c>
      <c r="S270" s="15"/>
      <c r="T270" s="100"/>
      <c r="U270" s="15"/>
      <c r="V270" s="15"/>
      <c r="W270" s="15"/>
      <c r="X270" s="96"/>
      <c r="Y270" s="69">
        <f ca="1">Table25[[#This Row],[End Date]]+2-TODAY()</f>
        <v>-45775</v>
      </c>
      <c r="Z270" s="15">
        <f>IF(ISBLANK(Table25[[#This Row],[Roster Received By]]),1,0)</f>
        <v>1</v>
      </c>
      <c r="AA270" s="15">
        <f ca="1">IF(Table25[[#This Row],[Start Date]]&gt;TODAY(),1,)</f>
        <v>0</v>
      </c>
    </row>
    <row r="271" spans="1:27" s="103" customFormat="1" ht="15.75" hidden="1" customHeight="1" x14ac:dyDescent="0.25">
      <c r="A271" s="64"/>
      <c r="B271" s="113"/>
      <c r="C271" s="97" t="e">
        <v>#N/A</v>
      </c>
      <c r="D271" s="97" t="e">
        <v>#N/A</v>
      </c>
      <c r="E271" s="96"/>
      <c r="F271" s="99"/>
      <c r="G271" s="99"/>
      <c r="H271" s="105"/>
      <c r="I271" s="105"/>
      <c r="J271" s="99"/>
      <c r="K271" s="99"/>
      <c r="L271" s="99"/>
      <c r="M271" s="99"/>
      <c r="N271" s="99"/>
      <c r="O271" s="96"/>
      <c r="P271" s="96"/>
      <c r="Q271" s="15" t="e">
        <v>#N/A</v>
      </c>
      <c r="R271" s="15" t="e">
        <v>#N/A</v>
      </c>
      <c r="S271" s="15"/>
      <c r="T271" s="100"/>
      <c r="U271" s="15"/>
      <c r="V271" s="15"/>
      <c r="W271" s="15"/>
      <c r="X271" s="96"/>
      <c r="Y271" s="69">
        <f ca="1">Table25[[#This Row],[End Date]]+2-TODAY()</f>
        <v>-45775</v>
      </c>
      <c r="Z271" s="15">
        <f>IF(ISBLANK(Table25[[#This Row],[Roster Received By]]),1,0)</f>
        <v>1</v>
      </c>
      <c r="AA271" s="15">
        <f ca="1">IF(Table25[[#This Row],[Start Date]]&gt;TODAY(),1,)</f>
        <v>0</v>
      </c>
    </row>
    <row r="272" spans="1:27" s="103" customFormat="1" ht="15.75" hidden="1" customHeight="1" x14ac:dyDescent="0.25">
      <c r="A272" s="61"/>
      <c r="B272" s="113"/>
      <c r="C272" s="97" t="e">
        <v>#N/A</v>
      </c>
      <c r="D272" s="97" t="e">
        <v>#N/A</v>
      </c>
      <c r="E272" s="64"/>
      <c r="F272" s="99"/>
      <c r="G272" s="99"/>
      <c r="H272" s="102"/>
      <c r="I272" s="102"/>
      <c r="J272" s="99"/>
      <c r="K272" s="99"/>
      <c r="L272" s="99"/>
      <c r="M272" s="99"/>
      <c r="N272" s="99"/>
      <c r="O272" s="96"/>
      <c r="P272" s="96"/>
      <c r="Q272" s="15" t="e">
        <v>#N/A</v>
      </c>
      <c r="R272" s="15" t="e">
        <v>#N/A</v>
      </c>
      <c r="S272" s="15"/>
      <c r="T272" s="100"/>
      <c r="U272" s="15"/>
      <c r="V272" s="15"/>
      <c r="W272" s="15"/>
      <c r="X272" s="96"/>
      <c r="Y272" s="69">
        <f ca="1">Table25[[#This Row],[End Date]]+2-TODAY()</f>
        <v>-45775</v>
      </c>
      <c r="Z272" s="15">
        <f>IF(ISBLANK(Table25[[#This Row],[Roster Received By]]),1,0)</f>
        <v>1</v>
      </c>
      <c r="AA272" s="15">
        <f ca="1">IF(Table25[[#This Row],[Start Date]]&gt;TODAY(),1,)</f>
        <v>0</v>
      </c>
    </row>
    <row r="273" spans="1:27" s="103" customFormat="1" ht="15.75" hidden="1" customHeight="1" x14ac:dyDescent="0.25">
      <c r="A273" s="96"/>
      <c r="B273" s="113"/>
      <c r="C273" s="97" t="e">
        <v>#N/A</v>
      </c>
      <c r="D273" s="97" t="e">
        <v>#N/A</v>
      </c>
      <c r="E273" s="96"/>
      <c r="F273" s="99"/>
      <c r="G273" s="99"/>
      <c r="H273" s="102"/>
      <c r="I273" s="102"/>
      <c r="J273" s="99"/>
      <c r="K273" s="99"/>
      <c r="L273" s="99"/>
      <c r="M273" s="99"/>
      <c r="N273" s="99"/>
      <c r="O273" s="96"/>
      <c r="P273" s="96"/>
      <c r="Q273" s="15" t="e">
        <v>#N/A</v>
      </c>
      <c r="R273" s="15" t="e">
        <v>#N/A</v>
      </c>
      <c r="S273" s="15"/>
      <c r="T273" s="100"/>
      <c r="U273" s="15"/>
      <c r="V273" s="15"/>
      <c r="W273" s="15"/>
      <c r="X273" s="96"/>
      <c r="Y273" s="69">
        <f ca="1">Table25[[#This Row],[End Date]]+2-TODAY()</f>
        <v>-45775</v>
      </c>
      <c r="Z273" s="15">
        <f>IF(ISBLANK(Table25[[#This Row],[Roster Received By]]),1,0)</f>
        <v>1</v>
      </c>
      <c r="AA273" s="15">
        <f ca="1">IF(Table25[[#This Row],[Start Date]]&gt;TODAY(),1,)</f>
        <v>0</v>
      </c>
    </row>
    <row r="274" spans="1:27" s="103" customFormat="1" ht="15.75" hidden="1" customHeight="1" x14ac:dyDescent="0.25">
      <c r="A274" s="61"/>
      <c r="B274" s="113"/>
      <c r="C274" s="97" t="e">
        <v>#N/A</v>
      </c>
      <c r="D274" s="97" t="e">
        <v>#N/A</v>
      </c>
      <c r="E274" s="64"/>
      <c r="F274" s="99"/>
      <c r="G274" s="99"/>
      <c r="H274" s="102"/>
      <c r="I274" s="98"/>
      <c r="J274" s="98"/>
      <c r="K274" s="98"/>
      <c r="L274" s="98"/>
      <c r="M274" s="98"/>
      <c r="N274" s="98"/>
      <c r="O274" s="96"/>
      <c r="P274" s="96"/>
      <c r="Q274" s="15" t="e">
        <v>#N/A</v>
      </c>
      <c r="R274" s="15" t="e">
        <v>#N/A</v>
      </c>
      <c r="S274" s="15"/>
      <c r="T274" s="100"/>
      <c r="U274" s="15"/>
      <c r="V274" s="15"/>
      <c r="W274" s="15"/>
      <c r="X274" s="96"/>
      <c r="Y274" s="69">
        <f ca="1">Table25[[#This Row],[End Date]]+2-TODAY()</f>
        <v>-45775</v>
      </c>
      <c r="Z274" s="15">
        <f>IF(ISBLANK(Table25[[#This Row],[Roster Received By]]),1,0)</f>
        <v>1</v>
      </c>
      <c r="AA274" s="15">
        <f ca="1">IF(Table25[[#This Row],[Start Date]]&gt;TODAY(),1,)</f>
        <v>0</v>
      </c>
    </row>
    <row r="275" spans="1:27" s="103" customFormat="1" ht="15.75" hidden="1" customHeight="1" x14ac:dyDescent="0.25">
      <c r="A275" s="96"/>
      <c r="B275" s="113"/>
      <c r="C275" s="97" t="e">
        <v>#N/A</v>
      </c>
      <c r="D275" s="97" t="e">
        <v>#N/A</v>
      </c>
      <c r="E275" s="96"/>
      <c r="F275" s="99"/>
      <c r="G275" s="99"/>
      <c r="H275" s="102"/>
      <c r="I275" s="102"/>
      <c r="J275" s="99"/>
      <c r="K275" s="99"/>
      <c r="L275" s="99"/>
      <c r="M275" s="99"/>
      <c r="N275" s="99"/>
      <c r="O275" s="96"/>
      <c r="P275" s="96"/>
      <c r="Q275" s="15" t="e">
        <v>#N/A</v>
      </c>
      <c r="R275" s="15" t="e">
        <v>#N/A</v>
      </c>
      <c r="S275" s="15"/>
      <c r="T275" s="100"/>
      <c r="U275" s="15"/>
      <c r="V275" s="15"/>
      <c r="W275" s="97"/>
      <c r="X275" s="96"/>
      <c r="Y275" s="69">
        <f ca="1">Table25[[#This Row],[End Date]]+2-TODAY()</f>
        <v>-45775</v>
      </c>
      <c r="Z275" s="15">
        <f>IF(ISBLANK(Table25[[#This Row],[Roster Received By]]),1,0)</f>
        <v>1</v>
      </c>
      <c r="AA275" s="15">
        <f ca="1">IF(Table25[[#This Row],[Start Date]]&gt;TODAY(),1,)</f>
        <v>0</v>
      </c>
    </row>
    <row r="276" spans="1:27" s="103" customFormat="1" ht="15.75" hidden="1" customHeight="1" x14ac:dyDescent="0.25">
      <c r="A276" s="61"/>
      <c r="B276" s="113"/>
      <c r="C276" s="97" t="e">
        <v>#N/A</v>
      </c>
      <c r="D276" s="97" t="e">
        <v>#N/A</v>
      </c>
      <c r="E276" s="64"/>
      <c r="F276" s="66"/>
      <c r="G276" s="99"/>
      <c r="H276" s="102"/>
      <c r="I276" s="102"/>
      <c r="J276" s="99"/>
      <c r="K276" s="99"/>
      <c r="L276" s="99"/>
      <c r="M276" s="99"/>
      <c r="N276" s="99"/>
      <c r="O276" s="96"/>
      <c r="P276" s="96"/>
      <c r="Q276" s="15" t="e">
        <v>#N/A</v>
      </c>
      <c r="R276" s="15" t="e">
        <v>#N/A</v>
      </c>
      <c r="S276" s="15"/>
      <c r="T276" s="100"/>
      <c r="U276" s="15"/>
      <c r="V276" s="15"/>
      <c r="W276" s="15"/>
      <c r="X276" s="96"/>
      <c r="Y276" s="69">
        <f ca="1">Table25[[#This Row],[End Date]]+2-TODAY()</f>
        <v>-45775</v>
      </c>
      <c r="Z276" s="15">
        <f>IF(ISBLANK(Table25[[#This Row],[Roster Received By]]),1,0)</f>
        <v>1</v>
      </c>
      <c r="AA276" s="15">
        <f ca="1">IF(Table25[[#This Row],[Start Date]]&gt;TODAY(),1,)</f>
        <v>0</v>
      </c>
    </row>
    <row r="277" spans="1:27" s="103" customFormat="1" ht="15.75" hidden="1" customHeight="1" x14ac:dyDescent="0.25">
      <c r="A277" s="96"/>
      <c r="B277" s="113"/>
      <c r="C277" s="97" t="e">
        <v>#N/A</v>
      </c>
      <c r="D277" s="97" t="e">
        <v>#N/A</v>
      </c>
      <c r="E277" s="96"/>
      <c r="F277" s="99"/>
      <c r="G277" s="99"/>
      <c r="H277" s="99"/>
      <c r="I277" s="98"/>
      <c r="J277" s="98"/>
      <c r="K277" s="98"/>
      <c r="L277" s="98"/>
      <c r="M277" s="98"/>
      <c r="N277" s="98"/>
      <c r="O277" s="96"/>
      <c r="P277" s="96"/>
      <c r="Q277" s="15" t="e">
        <v>#N/A</v>
      </c>
      <c r="R277" s="15" t="e">
        <v>#N/A</v>
      </c>
      <c r="S277" s="15"/>
      <c r="T277" s="100"/>
      <c r="U277" s="15"/>
      <c r="V277" s="15"/>
      <c r="W277" s="15"/>
      <c r="X277" s="96"/>
      <c r="Y277" s="69">
        <f ca="1">Table25[[#This Row],[End Date]]+2-TODAY()</f>
        <v>-45775</v>
      </c>
      <c r="Z277" s="15">
        <f>IF(ISBLANK(Table25[[#This Row],[Roster Received By]]),1,0)</f>
        <v>1</v>
      </c>
      <c r="AA277" s="15">
        <f ca="1">IF(Table25[[#This Row],[Start Date]]&gt;TODAY(),1,)</f>
        <v>0</v>
      </c>
    </row>
    <row r="278" spans="1:27" s="103" customFormat="1" ht="15.75" hidden="1" customHeight="1" x14ac:dyDescent="0.25">
      <c r="A278" s="61"/>
      <c r="B278" s="114"/>
      <c r="C278" s="97" t="e">
        <v>#N/A</v>
      </c>
      <c r="D278" s="97" t="e">
        <v>#N/A</v>
      </c>
      <c r="E278" s="96"/>
      <c r="F278" s="99"/>
      <c r="G278" s="99"/>
      <c r="H278" s="99"/>
      <c r="I278" s="98"/>
      <c r="J278" s="98"/>
      <c r="K278" s="98"/>
      <c r="L278" s="98"/>
      <c r="M278" s="98"/>
      <c r="N278" s="98"/>
      <c r="O278" s="96"/>
      <c r="P278" s="96"/>
      <c r="Q278" s="15" t="e">
        <v>#N/A</v>
      </c>
      <c r="R278" s="15" t="e">
        <v>#N/A</v>
      </c>
      <c r="S278" s="15"/>
      <c r="T278" s="100"/>
      <c r="U278" s="15"/>
      <c r="V278" s="15"/>
      <c r="W278" s="15"/>
      <c r="X278" s="96"/>
      <c r="Y278" s="69">
        <f ca="1">Table25[[#This Row],[End Date]]+2-TODAY()</f>
        <v>-45775</v>
      </c>
      <c r="Z278" s="15">
        <f>IF(ISBLANK(Table25[[#This Row],[Roster Received By]]),1,0)</f>
        <v>1</v>
      </c>
      <c r="AA278" s="15">
        <f ca="1">IF(Table25[[#This Row],[Start Date]]&gt;TODAY(),1,)</f>
        <v>0</v>
      </c>
    </row>
    <row r="279" spans="1:27" s="103" customFormat="1" ht="15.75" hidden="1" customHeight="1" x14ac:dyDescent="0.25">
      <c r="A279" s="61"/>
      <c r="B279" s="114"/>
      <c r="C279" s="97" t="e">
        <v>#N/A</v>
      </c>
      <c r="D279" s="97" t="e">
        <v>#N/A</v>
      </c>
      <c r="E279" s="96"/>
      <c r="F279" s="99"/>
      <c r="G279" s="99"/>
      <c r="H279" s="99"/>
      <c r="I279" s="98"/>
      <c r="J279" s="98"/>
      <c r="K279" s="98"/>
      <c r="L279" s="98"/>
      <c r="M279" s="98"/>
      <c r="N279" s="98"/>
      <c r="O279" s="96"/>
      <c r="P279" s="96"/>
      <c r="Q279" s="15" t="e">
        <v>#N/A</v>
      </c>
      <c r="R279" s="15" t="e">
        <v>#N/A</v>
      </c>
      <c r="S279" s="15"/>
      <c r="T279" s="100"/>
      <c r="U279" s="15"/>
      <c r="V279" s="15"/>
      <c r="W279" s="104"/>
      <c r="X279" s="96"/>
      <c r="Y279" s="69">
        <f ca="1">Table25[[#This Row],[End Date]]+2-TODAY()</f>
        <v>-45775</v>
      </c>
      <c r="Z279" s="15">
        <f>IF(ISBLANK(Table25[[#This Row],[Roster Received By]]),1,0)</f>
        <v>1</v>
      </c>
      <c r="AA279" s="15">
        <f ca="1">IF(Table25[[#This Row],[Start Date]]&gt;TODAY(),1,)</f>
        <v>0</v>
      </c>
    </row>
    <row r="280" spans="1:27" s="103" customFormat="1" ht="15.75" hidden="1" customHeight="1" x14ac:dyDescent="0.25">
      <c r="A280" s="61"/>
      <c r="B280" s="114"/>
      <c r="C280" s="97" t="e">
        <v>#N/A</v>
      </c>
      <c r="D280" s="97" t="e">
        <v>#N/A</v>
      </c>
      <c r="E280" s="96"/>
      <c r="F280" s="99"/>
      <c r="G280" s="99"/>
      <c r="H280" s="102"/>
      <c r="I280" s="102"/>
      <c r="J280" s="102"/>
      <c r="K280" s="102"/>
      <c r="L280" s="102"/>
      <c r="M280" s="102"/>
      <c r="N280" s="99"/>
      <c r="O280" s="96"/>
      <c r="P280" s="96"/>
      <c r="Q280" s="15" t="e">
        <v>#N/A</v>
      </c>
      <c r="R280" s="15" t="e">
        <v>#N/A</v>
      </c>
      <c r="S280" s="15"/>
      <c r="T280" s="100"/>
      <c r="U280" s="15"/>
      <c r="V280" s="15"/>
      <c r="W280" s="15"/>
      <c r="X280" s="96"/>
      <c r="Y280" s="69">
        <f ca="1">Table25[[#This Row],[End Date]]+2-TODAY()</f>
        <v>-45775</v>
      </c>
      <c r="Z280" s="15">
        <f>IF(ISBLANK(Table25[[#This Row],[Roster Received By]]),1,0)</f>
        <v>1</v>
      </c>
      <c r="AA280" s="15">
        <f ca="1">IF(Table25[[#This Row],[Start Date]]&gt;TODAY(),1,)</f>
        <v>0</v>
      </c>
    </row>
    <row r="281" spans="1:27" s="61" customFormat="1" hidden="1" x14ac:dyDescent="0.25">
      <c r="B281" s="113"/>
      <c r="C281" s="97" t="e">
        <v>#N/A</v>
      </c>
      <c r="D281" s="97" t="e">
        <v>#N/A</v>
      </c>
      <c r="E281" s="96"/>
      <c r="F281" s="99"/>
      <c r="G281" s="99"/>
      <c r="H281" s="99"/>
      <c r="I281" s="98"/>
      <c r="J281" s="98"/>
      <c r="K281" s="98"/>
      <c r="L281" s="98"/>
      <c r="M281" s="98"/>
      <c r="N281" s="98"/>
      <c r="O281" s="96"/>
      <c r="P281" s="96"/>
      <c r="Q281" s="15" t="e">
        <v>#N/A</v>
      </c>
      <c r="R281" s="15" t="e">
        <v>#N/A</v>
      </c>
      <c r="S281" s="15"/>
      <c r="T281" s="100"/>
      <c r="U281" s="15"/>
      <c r="V281" s="15"/>
      <c r="W281" s="15"/>
      <c r="X281" s="96"/>
      <c r="Y281" s="69">
        <f ca="1">Table25[[#This Row],[End Date]]+2-TODAY()</f>
        <v>-45775</v>
      </c>
      <c r="Z281" s="15">
        <f>IF(ISBLANK(Table25[[#This Row],[Roster Received By]]),1,0)</f>
        <v>1</v>
      </c>
      <c r="AA281" s="15">
        <f ca="1">IF(Table25[[#This Row],[Start Date]]&gt;TODAY(),1,)</f>
        <v>0</v>
      </c>
    </row>
    <row r="282" spans="1:27" s="61" customFormat="1" hidden="1" x14ac:dyDescent="0.25">
      <c r="B282" s="113"/>
      <c r="C282" s="97" t="e">
        <v>#N/A</v>
      </c>
      <c r="D282" s="97" t="e">
        <v>#N/A</v>
      </c>
      <c r="E282" s="96"/>
      <c r="F282" s="99"/>
      <c r="G282" s="99"/>
      <c r="H282" s="99"/>
      <c r="I282" s="98"/>
      <c r="J282" s="98"/>
      <c r="K282" s="98"/>
      <c r="L282" s="98"/>
      <c r="M282" s="98"/>
      <c r="N282" s="98"/>
      <c r="O282" s="96"/>
      <c r="P282" s="96"/>
      <c r="Q282" s="15" t="e">
        <v>#N/A</v>
      </c>
      <c r="R282" s="15" t="e">
        <v>#N/A</v>
      </c>
      <c r="S282" s="15"/>
      <c r="T282" s="100"/>
      <c r="U282" s="15"/>
      <c r="V282" s="15"/>
      <c r="W282" s="15"/>
      <c r="X282" s="96"/>
      <c r="Y282" s="69">
        <f ca="1">Table25[[#This Row],[End Date]]+2-TODAY()</f>
        <v>-45775</v>
      </c>
      <c r="Z282" s="15">
        <f>IF(ISBLANK(Table25[[#This Row],[Roster Received By]]),1,0)</f>
        <v>1</v>
      </c>
      <c r="AA282" s="15">
        <f ca="1">IF(Table25[[#This Row],[Start Date]]&gt;TODAY(),1,)</f>
        <v>0</v>
      </c>
    </row>
    <row r="283" spans="1:27" s="61" customFormat="1" hidden="1" x14ac:dyDescent="0.25">
      <c r="B283" s="114"/>
      <c r="C283" s="97" t="e">
        <v>#N/A</v>
      </c>
      <c r="D283" s="97" t="e">
        <v>#N/A</v>
      </c>
      <c r="E283" s="96"/>
      <c r="F283" s="99"/>
      <c r="G283" s="99"/>
      <c r="H283" s="99"/>
      <c r="I283" s="98"/>
      <c r="J283" s="98"/>
      <c r="K283" s="98"/>
      <c r="L283" s="98"/>
      <c r="M283" s="98"/>
      <c r="N283" s="98"/>
      <c r="O283" s="96"/>
      <c r="P283" s="96"/>
      <c r="Q283" s="15" t="e">
        <v>#N/A</v>
      </c>
      <c r="R283" s="15" t="e">
        <v>#N/A</v>
      </c>
      <c r="S283" s="15"/>
      <c r="T283" s="100"/>
      <c r="U283" s="15"/>
      <c r="V283" s="15"/>
      <c r="W283" s="15"/>
      <c r="X283" s="96"/>
      <c r="Y283" s="69">
        <f ca="1">Table25[[#This Row],[End Date]]+2-TODAY()</f>
        <v>-45775</v>
      </c>
      <c r="Z283" s="15">
        <f>IF(ISBLANK(Table25[[#This Row],[Roster Received By]]),1,0)</f>
        <v>1</v>
      </c>
      <c r="AA283" s="15">
        <f ca="1">IF(Table25[[#This Row],[Start Date]]&gt;TODAY(),1,)</f>
        <v>0</v>
      </c>
    </row>
    <row r="284" spans="1:27" s="61" customFormat="1" hidden="1" x14ac:dyDescent="0.25">
      <c r="B284" s="114"/>
      <c r="C284" s="97" t="e">
        <v>#N/A</v>
      </c>
      <c r="D284" s="97" t="e">
        <v>#N/A</v>
      </c>
      <c r="E284" s="96"/>
      <c r="F284" s="66"/>
      <c r="G284" s="66"/>
      <c r="H284" s="66"/>
      <c r="I284" s="98"/>
      <c r="J284" s="98"/>
      <c r="K284" s="98"/>
      <c r="L284" s="98"/>
      <c r="M284" s="98"/>
      <c r="N284" s="98"/>
      <c r="O284" s="96"/>
      <c r="P284" s="96"/>
      <c r="Q284" s="15" t="e">
        <v>#N/A</v>
      </c>
      <c r="R284" s="15" t="e">
        <v>#N/A</v>
      </c>
      <c r="S284" s="15"/>
      <c r="T284" s="100"/>
      <c r="U284" s="15"/>
      <c r="V284" s="15"/>
      <c r="W284" s="100"/>
      <c r="X284" s="96"/>
      <c r="Y284" s="69">
        <f ca="1">Table25[[#This Row],[End Date]]+2-TODAY()</f>
        <v>-45775</v>
      </c>
      <c r="Z284" s="15">
        <f>IF(ISBLANK(Table25[[#This Row],[Roster Received By]]),1,0)</f>
        <v>1</v>
      </c>
      <c r="AA284" s="15">
        <f ca="1">IF(Table25[[#This Row],[Start Date]]&gt;TODAY(),1,)</f>
        <v>0</v>
      </c>
    </row>
    <row r="285" spans="1:27" s="61" customFormat="1" hidden="1" x14ac:dyDescent="0.25">
      <c r="B285" s="113"/>
      <c r="C285" s="97" t="e">
        <v>#N/A</v>
      </c>
      <c r="D285" s="97" t="e">
        <v>#N/A</v>
      </c>
      <c r="E285" s="96"/>
      <c r="F285" s="99"/>
      <c r="G285" s="99"/>
      <c r="H285" s="102"/>
      <c r="I285" s="102"/>
      <c r="J285" s="102"/>
      <c r="K285" s="102"/>
      <c r="L285" s="102"/>
      <c r="M285" s="102"/>
      <c r="N285" s="102"/>
      <c r="O285" s="96"/>
      <c r="P285" s="96"/>
      <c r="Q285" s="15" t="e">
        <v>#N/A</v>
      </c>
      <c r="R285" s="15" t="e">
        <v>#N/A</v>
      </c>
      <c r="S285" s="15"/>
      <c r="T285" s="100"/>
      <c r="U285" s="15"/>
      <c r="V285" s="15"/>
      <c r="W285" s="15"/>
      <c r="X285" s="96"/>
      <c r="Y285" s="69">
        <f ca="1">Table25[[#This Row],[End Date]]+2-TODAY()</f>
        <v>-45775</v>
      </c>
      <c r="Z285" s="15">
        <f>IF(ISBLANK(Table25[[#This Row],[Roster Received By]]),1,0)</f>
        <v>1</v>
      </c>
      <c r="AA285" s="15">
        <f ca="1">IF(Table25[[#This Row],[Start Date]]&gt;TODAY(),1,)</f>
        <v>0</v>
      </c>
    </row>
    <row r="286" spans="1:27" s="61" customFormat="1" hidden="1" x14ac:dyDescent="0.25">
      <c r="B286" s="113"/>
      <c r="C286" s="97" t="e">
        <v>#N/A</v>
      </c>
      <c r="D286" s="97" t="e">
        <v>#N/A</v>
      </c>
      <c r="E286" s="96"/>
      <c r="F286" s="66"/>
      <c r="G286" s="99"/>
      <c r="H286" s="99"/>
      <c r="I286" s="98"/>
      <c r="J286" s="98"/>
      <c r="K286" s="98"/>
      <c r="L286" s="98"/>
      <c r="M286" s="98"/>
      <c r="N286" s="98"/>
      <c r="O286" s="96"/>
      <c r="P286" s="96"/>
      <c r="Q286" s="15" t="e">
        <v>#N/A</v>
      </c>
      <c r="R286" s="15" t="e">
        <v>#N/A</v>
      </c>
      <c r="S286" s="15"/>
      <c r="T286" s="100"/>
      <c r="U286" s="15"/>
      <c r="V286" s="15"/>
      <c r="W286" s="15"/>
      <c r="X286" s="96"/>
      <c r="Y286" s="69">
        <f ca="1">Table25[[#This Row],[End Date]]+2-TODAY()</f>
        <v>-45775</v>
      </c>
      <c r="Z286" s="15">
        <f>IF(ISBLANK(Table25[[#This Row],[Roster Received By]]),1,0)</f>
        <v>1</v>
      </c>
      <c r="AA286" s="15">
        <f ca="1">IF(Table25[[#This Row],[Start Date]]&gt;TODAY(),1,)</f>
        <v>0</v>
      </c>
    </row>
    <row r="287" spans="1:27" s="61" customFormat="1" hidden="1" x14ac:dyDescent="0.25">
      <c r="B287" s="114"/>
      <c r="C287" s="97" t="e">
        <v>#N/A</v>
      </c>
      <c r="D287" s="97" t="e">
        <v>#N/A</v>
      </c>
      <c r="E287" s="96"/>
      <c r="F287" s="99"/>
      <c r="G287" s="99"/>
      <c r="H287" s="102"/>
      <c r="I287" s="102"/>
      <c r="J287" s="99"/>
      <c r="K287" s="99"/>
      <c r="L287" s="99"/>
      <c r="M287" s="99"/>
      <c r="N287" s="99"/>
      <c r="O287" s="96"/>
      <c r="P287" s="96"/>
      <c r="Q287" s="15" t="e">
        <v>#N/A</v>
      </c>
      <c r="R287" s="15" t="e">
        <v>#N/A</v>
      </c>
      <c r="S287" s="15"/>
      <c r="T287" s="100"/>
      <c r="U287" s="15"/>
      <c r="V287" s="15"/>
      <c r="W287" s="15"/>
      <c r="X287" s="96"/>
      <c r="Y287" s="69">
        <f ca="1">Table25[[#This Row],[End Date]]+2-TODAY()</f>
        <v>-45775</v>
      </c>
      <c r="Z287" s="15">
        <f>IF(ISBLANK(Table25[[#This Row],[Roster Received By]]),1,0)</f>
        <v>1</v>
      </c>
      <c r="AA287" s="15">
        <f ca="1">IF(Table25[[#This Row],[Start Date]]&gt;TODAY(),1,)</f>
        <v>0</v>
      </c>
    </row>
    <row r="288" spans="1:27" s="61" customFormat="1" hidden="1" x14ac:dyDescent="0.25">
      <c r="A288" s="64"/>
      <c r="B288" s="114"/>
      <c r="C288" s="97" t="e">
        <v>#N/A</v>
      </c>
      <c r="D288" s="97" t="e">
        <v>#N/A</v>
      </c>
      <c r="E288" s="64"/>
      <c r="F288" s="99"/>
      <c r="G288" s="99"/>
      <c r="H288" s="102"/>
      <c r="I288" s="102"/>
      <c r="J288" s="99"/>
      <c r="K288" s="99"/>
      <c r="L288" s="99"/>
      <c r="M288" s="99"/>
      <c r="N288" s="99"/>
      <c r="O288" s="96"/>
      <c r="P288" s="96"/>
      <c r="Q288" s="15" t="e">
        <v>#N/A</v>
      </c>
      <c r="R288" s="15" t="e">
        <v>#N/A</v>
      </c>
      <c r="S288" s="15"/>
      <c r="T288" s="100"/>
      <c r="U288" s="15"/>
      <c r="V288" s="15"/>
      <c r="W288" s="15"/>
      <c r="X288" s="96"/>
      <c r="Y288" s="69">
        <f ca="1">Table25[[#This Row],[End Date]]+2-TODAY()</f>
        <v>-45775</v>
      </c>
      <c r="Z288" s="15">
        <f>IF(ISBLANK(Table25[[#This Row],[Roster Received By]]),1,0)</f>
        <v>1</v>
      </c>
      <c r="AA288" s="15">
        <f ca="1">IF(Table25[[#This Row],[Start Date]]&gt;TODAY(),1,)</f>
        <v>0</v>
      </c>
    </row>
    <row r="289" spans="2:27" s="61" customFormat="1" hidden="1" x14ac:dyDescent="0.25">
      <c r="B289" s="113"/>
      <c r="C289" s="97" t="e">
        <v>#N/A</v>
      </c>
      <c r="D289" s="97" t="e">
        <v>#N/A</v>
      </c>
      <c r="E289" s="96"/>
      <c r="F289" s="99"/>
      <c r="G289" s="99"/>
      <c r="H289" s="102"/>
      <c r="I289" s="102"/>
      <c r="J289" s="102"/>
      <c r="K289" s="102"/>
      <c r="L289" s="102"/>
      <c r="M289" s="102"/>
      <c r="N289" s="99"/>
      <c r="O289" s="96"/>
      <c r="P289" s="96"/>
      <c r="Q289" s="15" t="e">
        <v>#N/A</v>
      </c>
      <c r="R289" s="15" t="e">
        <v>#N/A</v>
      </c>
      <c r="S289" s="15"/>
      <c r="T289" s="100"/>
      <c r="U289" s="15"/>
      <c r="V289" s="15"/>
      <c r="W289" s="15"/>
      <c r="X289" s="96"/>
      <c r="Y289" s="69">
        <f ca="1">Table25[[#This Row],[End Date]]+2-TODAY()</f>
        <v>-45775</v>
      </c>
      <c r="Z289" s="15">
        <f>IF(ISBLANK(Table25[[#This Row],[Roster Received By]]),1,0)</f>
        <v>1</v>
      </c>
      <c r="AA289" s="15">
        <f ca="1">IF(Table25[[#This Row],[Start Date]]&gt;TODAY(),1,)</f>
        <v>0</v>
      </c>
    </row>
    <row r="290" spans="2:27" s="61" customFormat="1" hidden="1" x14ac:dyDescent="0.25">
      <c r="B290" s="113"/>
      <c r="C290" s="97" t="e">
        <v>#N/A</v>
      </c>
      <c r="D290" s="97" t="e">
        <v>#N/A</v>
      </c>
      <c r="E290" s="96"/>
      <c r="F290" s="99"/>
      <c r="G290" s="99"/>
      <c r="H290" s="102"/>
      <c r="I290" s="102"/>
      <c r="J290" s="102"/>
      <c r="K290" s="102"/>
      <c r="L290" s="102"/>
      <c r="M290" s="102"/>
      <c r="N290" s="99"/>
      <c r="O290" s="96"/>
      <c r="P290" s="96"/>
      <c r="Q290" s="15" t="e">
        <v>#N/A</v>
      </c>
      <c r="R290" s="15" t="e">
        <v>#N/A</v>
      </c>
      <c r="S290" s="15"/>
      <c r="T290" s="100"/>
      <c r="U290" s="15"/>
      <c r="V290" s="15"/>
      <c r="W290" s="97"/>
      <c r="X290" s="96"/>
      <c r="Y290" s="69">
        <f ca="1">Table25[[#This Row],[End Date]]+2-TODAY()</f>
        <v>-45775</v>
      </c>
      <c r="Z290" s="15">
        <f>IF(ISBLANK(Table25[[#This Row],[Roster Received By]]),1,0)</f>
        <v>1</v>
      </c>
      <c r="AA290" s="15">
        <f ca="1">IF(Table25[[#This Row],[Start Date]]&gt;TODAY(),1,)</f>
        <v>0</v>
      </c>
    </row>
    <row r="291" spans="2:27" s="61" customFormat="1" hidden="1" x14ac:dyDescent="0.25">
      <c r="B291" s="113"/>
      <c r="C291" s="97" t="e">
        <v>#N/A</v>
      </c>
      <c r="D291" s="97" t="e">
        <v>#N/A</v>
      </c>
      <c r="E291" s="96"/>
      <c r="F291" s="99"/>
      <c r="G291" s="99"/>
      <c r="H291" s="99"/>
      <c r="I291" s="98"/>
      <c r="J291" s="98"/>
      <c r="K291" s="98"/>
      <c r="L291" s="98"/>
      <c r="M291" s="98"/>
      <c r="N291" s="98"/>
      <c r="O291" s="96"/>
      <c r="P291" s="96"/>
      <c r="Q291" s="15" t="e">
        <v>#N/A</v>
      </c>
      <c r="R291" s="15" t="e">
        <v>#N/A</v>
      </c>
      <c r="S291" s="15"/>
      <c r="T291" s="100"/>
      <c r="U291" s="15"/>
      <c r="V291" s="15"/>
      <c r="W291" s="15"/>
      <c r="X291" s="96"/>
      <c r="Y291" s="69">
        <f ca="1">Table25[[#This Row],[End Date]]+2-TODAY()</f>
        <v>-45775</v>
      </c>
      <c r="Z291" s="15">
        <f>IF(ISBLANK(Table25[[#This Row],[Roster Received By]]),1,0)</f>
        <v>1</v>
      </c>
      <c r="AA291" s="15">
        <f ca="1">IF(Table25[[#This Row],[Start Date]]&gt;TODAY(),1,)</f>
        <v>0</v>
      </c>
    </row>
    <row r="292" spans="2:27" s="61" customFormat="1" hidden="1" x14ac:dyDescent="0.25">
      <c r="B292" s="113"/>
      <c r="C292" s="97" t="e">
        <v>#N/A</v>
      </c>
      <c r="D292" s="97" t="e">
        <v>#N/A</v>
      </c>
      <c r="E292" s="96"/>
      <c r="F292" s="99"/>
      <c r="G292" s="99"/>
      <c r="H292" s="99"/>
      <c r="I292" s="98"/>
      <c r="J292" s="98"/>
      <c r="K292" s="98"/>
      <c r="L292" s="98"/>
      <c r="M292" s="98"/>
      <c r="N292" s="98"/>
      <c r="O292" s="96"/>
      <c r="P292" s="96"/>
      <c r="Q292" s="15" t="e">
        <v>#N/A</v>
      </c>
      <c r="R292" s="15" t="e">
        <v>#N/A</v>
      </c>
      <c r="S292" s="15"/>
      <c r="T292" s="100"/>
      <c r="U292" s="15"/>
      <c r="V292" s="15"/>
      <c r="W292" s="15"/>
      <c r="X292" s="96"/>
      <c r="Y292" s="69">
        <f ca="1">Table25[[#This Row],[End Date]]+2-TODAY()</f>
        <v>-45775</v>
      </c>
      <c r="Z292" s="15">
        <f>IF(ISBLANK(Table25[[#This Row],[Roster Received By]]),1,0)</f>
        <v>1</v>
      </c>
      <c r="AA292" s="15">
        <f ca="1">IF(Table25[[#This Row],[Start Date]]&gt;TODAY(),1,)</f>
        <v>0</v>
      </c>
    </row>
    <row r="293" spans="2:27" s="61" customFormat="1" hidden="1" x14ac:dyDescent="0.25">
      <c r="B293" s="113"/>
      <c r="C293" s="97" t="e">
        <v>#N/A</v>
      </c>
      <c r="D293" s="97" t="e">
        <v>#N/A</v>
      </c>
      <c r="E293" s="96"/>
      <c r="F293" s="99"/>
      <c r="G293" s="99"/>
      <c r="H293" s="99"/>
      <c r="I293" s="98"/>
      <c r="J293" s="98"/>
      <c r="K293" s="98"/>
      <c r="L293" s="98"/>
      <c r="M293" s="98"/>
      <c r="N293" s="98"/>
      <c r="O293" s="96"/>
      <c r="P293" s="96"/>
      <c r="Q293" s="15" t="e">
        <v>#N/A</v>
      </c>
      <c r="R293" s="15" t="e">
        <v>#N/A</v>
      </c>
      <c r="S293" s="15"/>
      <c r="T293" s="100"/>
      <c r="U293" s="15"/>
      <c r="V293" s="15"/>
      <c r="W293" s="15"/>
      <c r="X293" s="96"/>
      <c r="Y293" s="69">
        <f ca="1">Table25[[#This Row],[End Date]]+2-TODAY()</f>
        <v>-45775</v>
      </c>
      <c r="Z293" s="15">
        <f>IF(ISBLANK(Table25[[#This Row],[Roster Received By]]),1,0)</f>
        <v>1</v>
      </c>
      <c r="AA293" s="15">
        <f ca="1">IF(Table25[[#This Row],[Start Date]]&gt;TODAY(),1,)</f>
        <v>0</v>
      </c>
    </row>
    <row r="294" spans="2:27" s="61" customFormat="1" hidden="1" x14ac:dyDescent="0.25">
      <c r="B294" s="113"/>
      <c r="C294" s="97" t="e">
        <v>#N/A</v>
      </c>
      <c r="D294" s="97" t="e">
        <v>#N/A</v>
      </c>
      <c r="E294" s="96"/>
      <c r="F294" s="99"/>
      <c r="G294" s="99"/>
      <c r="H294" s="99"/>
      <c r="I294" s="98"/>
      <c r="J294" s="98"/>
      <c r="K294" s="98"/>
      <c r="L294" s="98"/>
      <c r="M294" s="98"/>
      <c r="N294" s="98"/>
      <c r="O294" s="96"/>
      <c r="P294" s="96"/>
      <c r="Q294" s="15" t="e">
        <v>#N/A</v>
      </c>
      <c r="R294" s="15" t="e">
        <v>#N/A</v>
      </c>
      <c r="S294" s="15"/>
      <c r="T294" s="100"/>
      <c r="U294" s="15"/>
      <c r="V294" s="15"/>
      <c r="W294" s="15"/>
      <c r="X294" s="96"/>
      <c r="Y294" s="69">
        <f ca="1">Table25[[#This Row],[End Date]]+2-TODAY()</f>
        <v>-45775</v>
      </c>
      <c r="Z294" s="15">
        <f>IF(ISBLANK(Table25[[#This Row],[Roster Received By]]),1,0)</f>
        <v>1</v>
      </c>
      <c r="AA294" s="15">
        <f ca="1">IF(Table25[[#This Row],[Start Date]]&gt;TODAY(),1,)</f>
        <v>0</v>
      </c>
    </row>
    <row r="295" spans="2:27" s="61" customFormat="1" hidden="1" x14ac:dyDescent="0.25">
      <c r="B295" s="114"/>
      <c r="C295" s="97" t="e">
        <v>#N/A</v>
      </c>
      <c r="D295" s="97" t="e">
        <v>#N/A</v>
      </c>
      <c r="E295" s="96"/>
      <c r="F295" s="99"/>
      <c r="G295" s="99"/>
      <c r="H295" s="99"/>
      <c r="I295" s="98"/>
      <c r="J295" s="98"/>
      <c r="K295" s="98"/>
      <c r="L295" s="98"/>
      <c r="M295" s="98"/>
      <c r="N295" s="98"/>
      <c r="O295" s="96"/>
      <c r="P295" s="96"/>
      <c r="Q295" s="15" t="e">
        <v>#N/A</v>
      </c>
      <c r="R295" s="15" t="e">
        <v>#N/A</v>
      </c>
      <c r="S295" s="15"/>
      <c r="T295" s="100"/>
      <c r="U295" s="15"/>
      <c r="V295" s="15"/>
      <c r="W295" s="15"/>
      <c r="X295" s="96"/>
      <c r="Y295" s="69">
        <f ca="1">Table25[[#This Row],[End Date]]+2-TODAY()</f>
        <v>-45775</v>
      </c>
      <c r="Z295" s="15">
        <f>IF(ISBLANK(Table25[[#This Row],[Roster Received By]]),1,0)</f>
        <v>1</v>
      </c>
      <c r="AA295" s="15">
        <f ca="1">IF(Table25[[#This Row],[Start Date]]&gt;TODAY(),1,)</f>
        <v>0</v>
      </c>
    </row>
    <row r="296" spans="2:27" s="61" customFormat="1" hidden="1" x14ac:dyDescent="0.25">
      <c r="B296" s="114"/>
      <c r="C296" s="97" t="e">
        <v>#N/A</v>
      </c>
      <c r="D296" s="97" t="e">
        <v>#N/A</v>
      </c>
      <c r="E296" s="96"/>
      <c r="F296" s="99"/>
      <c r="G296" s="99"/>
      <c r="H296" s="105"/>
      <c r="I296" s="105"/>
      <c r="J296" s="99"/>
      <c r="K296" s="99"/>
      <c r="L296" s="99"/>
      <c r="M296" s="99"/>
      <c r="N296" s="99"/>
      <c r="O296" s="96"/>
      <c r="P296" s="96"/>
      <c r="Q296" s="15" t="e">
        <v>#N/A</v>
      </c>
      <c r="R296" s="15" t="e">
        <v>#N/A</v>
      </c>
      <c r="S296" s="15"/>
      <c r="T296" s="100"/>
      <c r="U296" s="15"/>
      <c r="V296" s="15"/>
      <c r="W296" s="15"/>
      <c r="X296" s="96"/>
      <c r="Y296" s="69">
        <f ca="1">Table25[[#This Row],[End Date]]+2-TODAY()</f>
        <v>-45775</v>
      </c>
      <c r="Z296" s="15">
        <f>IF(ISBLANK(Table25[[#This Row],[Roster Received By]]),1,0)</f>
        <v>1</v>
      </c>
      <c r="AA296" s="15">
        <f ca="1">IF(Table25[[#This Row],[Start Date]]&gt;TODAY(),1,)</f>
        <v>0</v>
      </c>
    </row>
    <row r="297" spans="2:27" s="61" customFormat="1" hidden="1" x14ac:dyDescent="0.25">
      <c r="B297" s="114"/>
      <c r="C297" s="97" t="e">
        <v>#N/A</v>
      </c>
      <c r="D297" s="97" t="e">
        <v>#N/A</v>
      </c>
      <c r="E297" s="96"/>
      <c r="F297" s="99"/>
      <c r="G297" s="99"/>
      <c r="H297" s="99"/>
      <c r="I297" s="98"/>
      <c r="J297" s="98"/>
      <c r="K297" s="98"/>
      <c r="L297" s="98"/>
      <c r="M297" s="98"/>
      <c r="N297" s="98"/>
      <c r="O297" s="96"/>
      <c r="P297" s="96"/>
      <c r="Q297" s="15" t="e">
        <v>#N/A</v>
      </c>
      <c r="R297" s="15" t="e">
        <v>#N/A</v>
      </c>
      <c r="S297" s="15"/>
      <c r="T297" s="100"/>
      <c r="U297" s="15"/>
      <c r="V297" s="15"/>
      <c r="W297" s="15"/>
      <c r="X297" s="96"/>
      <c r="Y297" s="69">
        <f ca="1">Table25[[#This Row],[End Date]]+2-TODAY()</f>
        <v>-45775</v>
      </c>
      <c r="Z297" s="15">
        <f>IF(ISBLANK(Table25[[#This Row],[Roster Received By]]),1,0)</f>
        <v>1</v>
      </c>
      <c r="AA297" s="15">
        <f ca="1">IF(Table25[[#This Row],[Start Date]]&gt;TODAY(),1,)</f>
        <v>0</v>
      </c>
    </row>
    <row r="298" spans="2:27" s="61" customFormat="1" hidden="1" x14ac:dyDescent="0.25">
      <c r="B298" s="114"/>
      <c r="C298" s="97" t="e">
        <v>#N/A</v>
      </c>
      <c r="D298" s="97" t="e">
        <v>#N/A</v>
      </c>
      <c r="E298" s="96"/>
      <c r="F298" s="99"/>
      <c r="G298" s="99"/>
      <c r="H298" s="99"/>
      <c r="I298" s="98"/>
      <c r="J298" s="98"/>
      <c r="K298" s="98"/>
      <c r="L298" s="98"/>
      <c r="M298" s="98"/>
      <c r="N298" s="98"/>
      <c r="O298" s="96"/>
      <c r="P298" s="96"/>
      <c r="Q298" s="15" t="e">
        <v>#N/A</v>
      </c>
      <c r="R298" s="15" t="e">
        <v>#N/A</v>
      </c>
      <c r="S298" s="15"/>
      <c r="T298" s="100"/>
      <c r="U298" s="15"/>
      <c r="V298" s="15"/>
      <c r="W298" s="100"/>
      <c r="X298" s="96"/>
      <c r="Y298" s="69">
        <f ca="1">Table25[[#This Row],[End Date]]+2-TODAY()</f>
        <v>-45775</v>
      </c>
      <c r="Z298" s="15">
        <f>IF(ISBLANK(Table25[[#This Row],[Roster Received By]]),1,0)</f>
        <v>1</v>
      </c>
      <c r="AA298" s="15">
        <f ca="1">IF(Table25[[#This Row],[Start Date]]&gt;TODAY(),1,)</f>
        <v>0</v>
      </c>
    </row>
    <row r="299" spans="2:27" s="61" customFormat="1" hidden="1" x14ac:dyDescent="0.25">
      <c r="B299" s="114"/>
      <c r="C299" s="97" t="e">
        <v>#N/A</v>
      </c>
      <c r="D299" s="97" t="e">
        <v>#N/A</v>
      </c>
      <c r="E299" s="96"/>
      <c r="F299" s="99"/>
      <c r="G299" s="99"/>
      <c r="H299" s="102"/>
      <c r="I299" s="102"/>
      <c r="J299" s="99"/>
      <c r="K299" s="99"/>
      <c r="L299" s="99"/>
      <c r="M299" s="99"/>
      <c r="N299" s="99"/>
      <c r="O299" s="96"/>
      <c r="P299" s="96"/>
      <c r="Q299" s="15" t="e">
        <v>#N/A</v>
      </c>
      <c r="R299" s="15" t="e">
        <v>#N/A</v>
      </c>
      <c r="S299" s="100"/>
      <c r="T299" s="100"/>
      <c r="U299" s="15"/>
      <c r="V299" s="15"/>
      <c r="W299" s="97"/>
      <c r="X299" s="96"/>
      <c r="Y299" s="106">
        <f ca="1">Table25[[#This Row],[End Date]]+2-TODAY()</f>
        <v>-45775</v>
      </c>
      <c r="Z299" s="15">
        <f>IF(ISBLANK(Table25[[#This Row],[Roster Received By]]),1,0)</f>
        <v>1</v>
      </c>
      <c r="AA299" s="97">
        <f ca="1">IF(Table25[[#This Row],[Start Date]]&gt;TODAY(),1,)</f>
        <v>0</v>
      </c>
    </row>
    <row r="300" spans="2:27" s="61" customFormat="1" hidden="1" x14ac:dyDescent="0.25">
      <c r="B300" s="114"/>
      <c r="C300" s="97" t="e">
        <v>#N/A</v>
      </c>
      <c r="D300" s="97" t="e">
        <v>#N/A</v>
      </c>
      <c r="E300" s="96"/>
      <c r="F300" s="99"/>
      <c r="G300" s="99"/>
      <c r="H300" s="102"/>
      <c r="I300" s="102"/>
      <c r="J300" s="99"/>
      <c r="K300" s="99"/>
      <c r="L300" s="99"/>
      <c r="M300" s="99"/>
      <c r="N300" s="99"/>
      <c r="O300" s="96"/>
      <c r="P300" s="96"/>
      <c r="Q300" s="15" t="e">
        <v>#N/A</v>
      </c>
      <c r="R300" s="15" t="e">
        <v>#N/A</v>
      </c>
      <c r="S300" s="15"/>
      <c r="T300" s="100"/>
      <c r="U300" s="15"/>
      <c r="V300" s="15"/>
      <c r="W300" s="15"/>
      <c r="X300" s="96"/>
      <c r="Y300" s="69">
        <f ca="1">Table25[[#This Row],[End Date]]+2-TODAY()</f>
        <v>-45775</v>
      </c>
      <c r="Z300" s="15">
        <f>IF(ISBLANK(Table25[[#This Row],[Roster Received By]]),1,0)</f>
        <v>1</v>
      </c>
      <c r="AA300" s="15">
        <f ca="1">IF(Table25[[#This Row],[Start Date]]&gt;TODAY(),1,)</f>
        <v>0</v>
      </c>
    </row>
    <row r="301" spans="2:27" s="61" customFormat="1" hidden="1" x14ac:dyDescent="0.25">
      <c r="B301" s="114"/>
      <c r="C301" s="97" t="e">
        <v>#N/A</v>
      </c>
      <c r="D301" s="97" t="e">
        <v>#N/A</v>
      </c>
      <c r="E301" s="96"/>
      <c r="F301" s="99"/>
      <c r="G301" s="99"/>
      <c r="H301" s="102"/>
      <c r="I301" s="102"/>
      <c r="J301" s="102"/>
      <c r="K301" s="102"/>
      <c r="L301" s="102"/>
      <c r="M301" s="102"/>
      <c r="N301" s="102"/>
      <c r="O301" s="96"/>
      <c r="P301" s="96"/>
      <c r="Q301" s="15" t="e">
        <v>#N/A</v>
      </c>
      <c r="R301" s="15" t="e">
        <v>#N/A</v>
      </c>
      <c r="S301" s="15"/>
      <c r="T301" s="100"/>
      <c r="U301" s="15"/>
      <c r="V301" s="15"/>
      <c r="W301" s="15"/>
      <c r="X301" s="96"/>
      <c r="Y301" s="69">
        <f ca="1">Table25[[#This Row],[End Date]]+2-TODAY()</f>
        <v>-45775</v>
      </c>
      <c r="Z301" s="15">
        <f>IF(ISBLANK(Table25[[#This Row],[Roster Received By]]),1,0)</f>
        <v>1</v>
      </c>
      <c r="AA301" s="15">
        <f ca="1">IF(Table25[[#This Row],[Start Date]]&gt;TODAY(),1,)</f>
        <v>0</v>
      </c>
    </row>
    <row r="302" spans="2:27" s="61" customFormat="1" hidden="1" x14ac:dyDescent="0.25">
      <c r="B302" s="114"/>
      <c r="C302" s="97" t="e">
        <v>#N/A</v>
      </c>
      <c r="D302" s="97" t="e">
        <v>#N/A</v>
      </c>
      <c r="E302" s="96"/>
      <c r="F302" s="66"/>
      <c r="G302" s="99"/>
      <c r="H302" s="99"/>
      <c r="I302" s="98"/>
      <c r="J302" s="98"/>
      <c r="K302" s="98"/>
      <c r="L302" s="98"/>
      <c r="M302" s="98"/>
      <c r="N302" s="98"/>
      <c r="O302" s="96"/>
      <c r="P302" s="96"/>
      <c r="Q302" s="15" t="e">
        <v>#N/A</v>
      </c>
      <c r="R302" s="15" t="e">
        <v>#N/A</v>
      </c>
      <c r="S302" s="15"/>
      <c r="T302" s="100"/>
      <c r="U302" s="15"/>
      <c r="V302" s="15"/>
      <c r="W302" s="15"/>
      <c r="X302" s="96"/>
      <c r="Y302" s="69">
        <f ca="1">Table25[[#This Row],[End Date]]+2-TODAY()</f>
        <v>-45775</v>
      </c>
      <c r="Z302" s="15">
        <f>IF(ISBLANK(Table25[[#This Row],[Roster Received By]]),1,0)</f>
        <v>1</v>
      </c>
      <c r="AA302" s="15">
        <f ca="1">IF(Table25[[#This Row],[Start Date]]&gt;TODAY(),1,)</f>
        <v>0</v>
      </c>
    </row>
    <row r="303" spans="2:27" s="61" customFormat="1" hidden="1" x14ac:dyDescent="0.25">
      <c r="B303" s="114"/>
      <c r="C303" s="97" t="e">
        <v>#N/A</v>
      </c>
      <c r="D303" s="97" t="e">
        <v>#N/A</v>
      </c>
      <c r="E303" s="96"/>
      <c r="F303" s="99"/>
      <c r="G303" s="99"/>
      <c r="H303" s="99"/>
      <c r="I303" s="98"/>
      <c r="J303" s="98"/>
      <c r="K303" s="98"/>
      <c r="L303" s="98"/>
      <c r="M303" s="98"/>
      <c r="N303" s="98"/>
      <c r="O303" s="96"/>
      <c r="P303" s="96"/>
      <c r="Q303" s="15" t="e">
        <v>#N/A</v>
      </c>
      <c r="R303" s="15" t="e">
        <v>#N/A</v>
      </c>
      <c r="S303" s="15"/>
      <c r="T303" s="100"/>
      <c r="U303" s="15"/>
      <c r="V303" s="15"/>
      <c r="W303" s="15"/>
      <c r="X303" s="96"/>
      <c r="Y303" s="69">
        <f ca="1">Table25[[#This Row],[End Date]]+2-TODAY()</f>
        <v>-45775</v>
      </c>
      <c r="Z303" s="15">
        <f>IF(ISBLANK(Table25[[#This Row],[Roster Received By]]),1,0)</f>
        <v>1</v>
      </c>
      <c r="AA303" s="15">
        <f ca="1">IF(Table25[[#This Row],[Start Date]]&gt;TODAY(),1,)</f>
        <v>0</v>
      </c>
    </row>
    <row r="304" spans="2:27" s="61" customFormat="1" hidden="1" x14ac:dyDescent="0.25">
      <c r="B304" s="114"/>
      <c r="C304" s="97" t="e">
        <v>#N/A</v>
      </c>
      <c r="D304" s="97" t="e">
        <v>#N/A</v>
      </c>
      <c r="E304" s="96"/>
      <c r="F304" s="107"/>
      <c r="G304" s="107"/>
      <c r="H304" s="99"/>
      <c r="I304" s="98"/>
      <c r="J304" s="98"/>
      <c r="K304" s="98"/>
      <c r="L304" s="98"/>
      <c r="M304" s="98"/>
      <c r="N304" s="98"/>
      <c r="O304" s="96"/>
      <c r="P304" s="96"/>
      <c r="Q304" s="15" t="e">
        <v>#N/A</v>
      </c>
      <c r="R304" s="15" t="e">
        <v>#N/A</v>
      </c>
      <c r="S304" s="15"/>
      <c r="T304" s="100"/>
      <c r="U304" s="15"/>
      <c r="V304" s="15"/>
      <c r="W304" s="15"/>
      <c r="X304" s="96"/>
      <c r="Y304" s="69">
        <f ca="1">Table25[[#This Row],[End Date]]+2-TODAY()</f>
        <v>-45775</v>
      </c>
      <c r="Z304" s="15">
        <f>IF(ISBLANK(Table25[[#This Row],[Roster Received By]]),1,0)</f>
        <v>1</v>
      </c>
      <c r="AA304" s="15">
        <f ca="1">IF(Table25[[#This Row],[Start Date]]&gt;TODAY(),1,)</f>
        <v>0</v>
      </c>
    </row>
    <row r="305" spans="1:27" s="61" customFormat="1" hidden="1" x14ac:dyDescent="0.25">
      <c r="B305" s="114"/>
      <c r="C305" s="97" t="e">
        <v>#N/A</v>
      </c>
      <c r="D305" s="97" t="e">
        <v>#N/A</v>
      </c>
      <c r="E305" s="96"/>
      <c r="F305" s="107"/>
      <c r="G305" s="107"/>
      <c r="H305" s="99"/>
      <c r="I305" s="98"/>
      <c r="J305" s="98"/>
      <c r="K305" s="98"/>
      <c r="L305" s="98"/>
      <c r="M305" s="98"/>
      <c r="N305" s="98"/>
      <c r="O305" s="96"/>
      <c r="P305" s="96"/>
      <c r="Q305" s="15" t="e">
        <v>#N/A</v>
      </c>
      <c r="R305" s="15" t="e">
        <v>#N/A</v>
      </c>
      <c r="S305" s="15"/>
      <c r="T305" s="100"/>
      <c r="U305" s="15"/>
      <c r="V305" s="15"/>
      <c r="W305" s="15"/>
      <c r="X305" s="96"/>
      <c r="Y305" s="69">
        <f ca="1">Table25[[#This Row],[End Date]]+2-TODAY()</f>
        <v>-45775</v>
      </c>
      <c r="Z305" s="15">
        <f>IF(ISBLANK(Table25[[#This Row],[Roster Received By]]),1,0)</f>
        <v>1</v>
      </c>
      <c r="AA305" s="15">
        <f ca="1">IF(Table25[[#This Row],[Start Date]]&gt;TODAY(),1,)</f>
        <v>0</v>
      </c>
    </row>
    <row r="306" spans="1:27" s="61" customFormat="1" hidden="1" x14ac:dyDescent="0.25">
      <c r="B306" s="114"/>
      <c r="C306" s="97" t="e">
        <v>#N/A</v>
      </c>
      <c r="D306" s="97" t="e">
        <v>#N/A</v>
      </c>
      <c r="E306" s="96"/>
      <c r="F306" s="107"/>
      <c r="G306" s="107"/>
      <c r="H306" s="99"/>
      <c r="I306" s="98"/>
      <c r="J306" s="98"/>
      <c r="K306" s="98"/>
      <c r="L306" s="98"/>
      <c r="M306" s="98"/>
      <c r="N306" s="98"/>
      <c r="O306" s="96"/>
      <c r="P306" s="96"/>
      <c r="Q306" s="15" t="e">
        <v>#N/A</v>
      </c>
      <c r="R306" s="15" t="e">
        <v>#N/A</v>
      </c>
      <c r="S306" s="15"/>
      <c r="T306" s="100"/>
      <c r="U306" s="15"/>
      <c r="V306" s="15"/>
      <c r="W306" s="15"/>
      <c r="X306" s="96"/>
      <c r="Y306" s="69">
        <f ca="1">Table25[[#This Row],[End Date]]+2-TODAY()</f>
        <v>-45775</v>
      </c>
      <c r="Z306" s="15">
        <f>IF(ISBLANK(Table25[[#This Row],[Roster Received By]]),1,0)</f>
        <v>1</v>
      </c>
      <c r="AA306" s="15">
        <f ca="1">IF(Table25[[#This Row],[Start Date]]&gt;TODAY(),1,)</f>
        <v>0</v>
      </c>
    </row>
    <row r="307" spans="1:27" s="61" customFormat="1" hidden="1" x14ac:dyDescent="0.25">
      <c r="B307" s="114"/>
      <c r="C307" s="97" t="e">
        <v>#N/A</v>
      </c>
      <c r="D307" s="97" t="e">
        <v>#N/A</v>
      </c>
      <c r="E307" s="96"/>
      <c r="F307" s="107"/>
      <c r="G307" s="107"/>
      <c r="H307" s="105"/>
      <c r="I307" s="105"/>
      <c r="J307" s="99"/>
      <c r="K307" s="99"/>
      <c r="L307" s="99"/>
      <c r="M307" s="99"/>
      <c r="N307" s="99"/>
      <c r="O307" s="96"/>
      <c r="P307" s="96"/>
      <c r="Q307" s="15" t="e">
        <v>#N/A</v>
      </c>
      <c r="R307" s="15" t="e">
        <v>#N/A</v>
      </c>
      <c r="S307" s="15"/>
      <c r="T307" s="100"/>
      <c r="U307" s="15"/>
      <c r="V307" s="15"/>
      <c r="W307" s="15"/>
      <c r="X307" s="96"/>
      <c r="Y307" s="69">
        <f ca="1">Table25[[#This Row],[End Date]]+2-TODAY()</f>
        <v>-45775</v>
      </c>
      <c r="Z307" s="15">
        <f>IF(ISBLANK(Table25[[#This Row],[Roster Received By]]),1,0)</f>
        <v>1</v>
      </c>
      <c r="AA307" s="15">
        <f ca="1">IF(Table25[[#This Row],[Start Date]]&gt;TODAY(),1,)</f>
        <v>0</v>
      </c>
    </row>
    <row r="308" spans="1:27" s="61" customFormat="1" hidden="1" x14ac:dyDescent="0.25">
      <c r="B308" s="114"/>
      <c r="C308" s="97" t="e">
        <v>#N/A</v>
      </c>
      <c r="D308" s="97" t="e">
        <v>#N/A</v>
      </c>
      <c r="E308" s="96"/>
      <c r="F308" s="107"/>
      <c r="G308" s="107"/>
      <c r="H308" s="102"/>
      <c r="I308" s="102"/>
      <c r="J308" s="102"/>
      <c r="K308" s="102"/>
      <c r="L308" s="102"/>
      <c r="M308" s="102"/>
      <c r="N308" s="99"/>
      <c r="O308" s="96"/>
      <c r="P308" s="96"/>
      <c r="Q308" s="15" t="e">
        <v>#N/A</v>
      </c>
      <c r="R308" s="15" t="e">
        <v>#N/A</v>
      </c>
      <c r="S308" s="15"/>
      <c r="T308" s="100"/>
      <c r="U308" s="15"/>
      <c r="V308" s="15"/>
      <c r="W308" s="97"/>
      <c r="X308" s="96"/>
      <c r="Y308" s="69">
        <f ca="1">Table25[[#This Row],[End Date]]+2-TODAY()</f>
        <v>-45775</v>
      </c>
      <c r="Z308" s="15">
        <f>IF(ISBLANK(Table25[[#This Row],[Roster Received By]]),1,0)</f>
        <v>1</v>
      </c>
      <c r="AA308" s="15">
        <f ca="1">IF(Table25[[#This Row],[Start Date]]&gt;TODAY(),1,)</f>
        <v>0</v>
      </c>
    </row>
    <row r="309" spans="1:27" s="61" customFormat="1" hidden="1" x14ac:dyDescent="0.25">
      <c r="B309" s="114"/>
      <c r="C309" s="97" t="e">
        <v>#N/A</v>
      </c>
      <c r="D309" s="97" t="e">
        <v>#N/A</v>
      </c>
      <c r="E309" s="64"/>
      <c r="F309" s="107"/>
      <c r="G309" s="107"/>
      <c r="H309" s="102"/>
      <c r="I309" s="102"/>
      <c r="J309" s="99"/>
      <c r="K309" s="99"/>
      <c r="L309" s="99"/>
      <c r="M309" s="99"/>
      <c r="N309" s="99"/>
      <c r="O309" s="96"/>
      <c r="P309" s="96"/>
      <c r="Q309" s="15" t="e">
        <v>#N/A</v>
      </c>
      <c r="R309" s="15" t="e">
        <v>#N/A</v>
      </c>
      <c r="S309" s="15"/>
      <c r="T309" s="100"/>
      <c r="U309" s="15"/>
      <c r="V309" s="15"/>
      <c r="W309" s="15"/>
      <c r="X309" s="96"/>
      <c r="Y309" s="69">
        <f ca="1">Table25[[#This Row],[End Date]]+2-TODAY()</f>
        <v>-45775</v>
      </c>
      <c r="Z309" s="15">
        <f>IF(ISBLANK(Table25[[#This Row],[Roster Received By]]),1,0)</f>
        <v>1</v>
      </c>
      <c r="AA309" s="15">
        <f ca="1">IF(Table25[[#This Row],[Start Date]]&gt;TODAY(),1,)</f>
        <v>0</v>
      </c>
    </row>
    <row r="310" spans="1:27" s="61" customFormat="1" hidden="1" x14ac:dyDescent="0.25">
      <c r="B310" s="114"/>
      <c r="C310" s="97" t="e">
        <v>#N/A</v>
      </c>
      <c r="D310" s="97" t="e">
        <v>#N/A</v>
      </c>
      <c r="E310" s="64"/>
      <c r="F310" s="107"/>
      <c r="G310" s="107"/>
      <c r="H310" s="102"/>
      <c r="I310" s="102"/>
      <c r="J310" s="99"/>
      <c r="K310" s="99"/>
      <c r="L310" s="99"/>
      <c r="M310" s="99"/>
      <c r="N310" s="99"/>
      <c r="O310" s="96"/>
      <c r="P310" s="96"/>
      <c r="Q310" s="15" t="e">
        <v>#N/A</v>
      </c>
      <c r="R310" s="15" t="e">
        <v>#N/A</v>
      </c>
      <c r="S310" s="15"/>
      <c r="T310" s="100"/>
      <c r="U310" s="15"/>
      <c r="V310" s="15"/>
      <c r="W310" s="15"/>
      <c r="X310" s="96"/>
      <c r="Y310" s="69">
        <f ca="1">Table25[[#This Row],[End Date]]+2-TODAY()</f>
        <v>-45775</v>
      </c>
      <c r="Z310" s="15">
        <f>IF(ISBLANK(Table25[[#This Row],[Roster Received By]]),1,0)</f>
        <v>1</v>
      </c>
      <c r="AA310" s="15">
        <f ca="1">IF(Table25[[#This Row],[Start Date]]&gt;TODAY(),1,)</f>
        <v>0</v>
      </c>
    </row>
    <row r="311" spans="1:27" s="61" customFormat="1" hidden="1" x14ac:dyDescent="0.25">
      <c r="B311" s="114"/>
      <c r="C311" s="97" t="e">
        <v>#N/A</v>
      </c>
      <c r="D311" s="97" t="e">
        <v>#N/A</v>
      </c>
      <c r="E311" s="96"/>
      <c r="F311" s="107"/>
      <c r="G311" s="107"/>
      <c r="H311" s="105"/>
      <c r="I311" s="105"/>
      <c r="J311" s="99"/>
      <c r="K311" s="99"/>
      <c r="L311" s="99"/>
      <c r="M311" s="99"/>
      <c r="N311" s="99"/>
      <c r="O311" s="96"/>
      <c r="P311" s="96"/>
      <c r="Q311" s="15" t="e">
        <v>#N/A</v>
      </c>
      <c r="R311" s="15" t="e">
        <v>#N/A</v>
      </c>
      <c r="S311" s="100"/>
      <c r="T311" s="100"/>
      <c r="U311" s="15"/>
      <c r="V311" s="15"/>
      <c r="W311" s="15"/>
      <c r="X311" s="96"/>
      <c r="Y311" s="69">
        <f ca="1">Table25[[#This Row],[End Date]]+2-TODAY()</f>
        <v>-45775</v>
      </c>
      <c r="Z311" s="15">
        <f>IF(ISBLANK(Table25[[#This Row],[Roster Received By]]),1,0)</f>
        <v>1</v>
      </c>
      <c r="AA311" s="15">
        <f ca="1">IF(Table25[[#This Row],[Start Date]]&gt;TODAY(),1,)</f>
        <v>0</v>
      </c>
    </row>
    <row r="312" spans="1:27" s="61" customFormat="1" hidden="1" x14ac:dyDescent="0.25">
      <c r="B312" s="96"/>
      <c r="C312" s="97" t="e">
        <v>#N/A</v>
      </c>
      <c r="D312" s="97" t="e">
        <v>#N/A</v>
      </c>
      <c r="E312" s="96"/>
      <c r="F312" s="107"/>
      <c r="G312" s="107"/>
      <c r="H312" s="102"/>
      <c r="I312" s="102"/>
      <c r="J312" s="99"/>
      <c r="K312" s="99"/>
      <c r="L312" s="99"/>
      <c r="M312" s="99"/>
      <c r="N312" s="99"/>
      <c r="O312" s="96"/>
      <c r="P312" s="96"/>
      <c r="Q312" s="15" t="e">
        <v>#N/A</v>
      </c>
      <c r="R312" s="15" t="e">
        <v>#N/A</v>
      </c>
      <c r="S312" s="100"/>
      <c r="T312" s="100"/>
      <c r="U312" s="15"/>
      <c r="V312" s="15"/>
      <c r="W312" s="97"/>
      <c r="X312" s="96"/>
      <c r="Y312" s="106">
        <f ca="1">Table25[[#This Row],[End Date]]+2-TODAY()</f>
        <v>-45775</v>
      </c>
      <c r="Z312" s="15">
        <f>IF(ISBLANK(Table25[[#This Row],[Roster Received By]]),1,0)</f>
        <v>1</v>
      </c>
      <c r="AA312" s="97">
        <f ca="1">IF(Table25[[#This Row],[Start Date]]&gt;TODAY(),1,)</f>
        <v>0</v>
      </c>
    </row>
    <row r="313" spans="1:27" s="61" customFormat="1" hidden="1" x14ac:dyDescent="0.25">
      <c r="B313" s="115"/>
      <c r="C313" s="97" t="e">
        <v>#N/A</v>
      </c>
      <c r="D313" s="97" t="e">
        <v>#N/A</v>
      </c>
      <c r="E313" s="96"/>
      <c r="F313" s="107"/>
      <c r="G313" s="107"/>
      <c r="H313" s="105"/>
      <c r="I313" s="105"/>
      <c r="J313" s="99"/>
      <c r="K313" s="99"/>
      <c r="L313" s="99"/>
      <c r="M313" s="99"/>
      <c r="N313" s="99"/>
      <c r="O313" s="96"/>
      <c r="P313" s="96"/>
      <c r="Q313" s="15" t="e">
        <v>#N/A</v>
      </c>
      <c r="R313" s="15" t="e">
        <v>#N/A</v>
      </c>
      <c r="S313" s="15"/>
      <c r="T313" s="100"/>
      <c r="U313" s="15"/>
      <c r="V313" s="15"/>
      <c r="W313" s="15"/>
      <c r="X313" s="96"/>
      <c r="Y313" s="69">
        <f ca="1">Table25[[#This Row],[End Date]]+2-TODAY()</f>
        <v>-45775</v>
      </c>
      <c r="Z313" s="15">
        <f>IF(ISBLANK(Table25[[#This Row],[Roster Received By]]),1,0)</f>
        <v>1</v>
      </c>
      <c r="AA313" s="15">
        <f ca="1">IF(Table25[[#This Row],[Start Date]]&gt;TODAY(),1,)</f>
        <v>0</v>
      </c>
    </row>
    <row r="314" spans="1:27" s="61" customFormat="1" hidden="1" x14ac:dyDescent="0.25">
      <c r="B314" s="114"/>
      <c r="C314" s="97" t="e">
        <v>#N/A</v>
      </c>
      <c r="D314" s="97" t="e">
        <v>#N/A</v>
      </c>
      <c r="E314" s="96"/>
      <c r="F314" s="107"/>
      <c r="G314" s="107"/>
      <c r="H314" s="99"/>
      <c r="I314" s="98"/>
      <c r="J314" s="98"/>
      <c r="K314" s="98"/>
      <c r="L314" s="98"/>
      <c r="M314" s="98"/>
      <c r="N314" s="98"/>
      <c r="O314" s="96"/>
      <c r="P314" s="96"/>
      <c r="Q314" s="15" t="e">
        <v>#N/A</v>
      </c>
      <c r="R314" s="15" t="e">
        <v>#N/A</v>
      </c>
      <c r="S314" s="15"/>
      <c r="T314" s="100"/>
      <c r="U314" s="15"/>
      <c r="V314" s="15"/>
      <c r="W314" s="15"/>
      <c r="X314" s="96"/>
      <c r="Y314" s="69">
        <f ca="1">Table25[[#This Row],[End Date]]+2-TODAY()</f>
        <v>-45775</v>
      </c>
      <c r="Z314" s="15">
        <f>IF(ISBLANK(Table25[[#This Row],[Roster Received By]]),1,0)</f>
        <v>1</v>
      </c>
      <c r="AA314" s="15">
        <f ca="1">IF(Table25[[#This Row],[Start Date]]&gt;TODAY(),1,)</f>
        <v>0</v>
      </c>
    </row>
    <row r="315" spans="1:27" s="61" customFormat="1" hidden="1" x14ac:dyDescent="0.25">
      <c r="B315" s="115"/>
      <c r="C315" s="97" t="e">
        <v>#N/A</v>
      </c>
      <c r="D315" s="97" t="e">
        <v>#N/A</v>
      </c>
      <c r="E315" s="96"/>
      <c r="F315" s="107"/>
      <c r="G315" s="107"/>
      <c r="H315" s="102"/>
      <c r="I315" s="102"/>
      <c r="J315" s="99"/>
      <c r="K315" s="99"/>
      <c r="L315" s="99"/>
      <c r="M315" s="99"/>
      <c r="N315" s="99"/>
      <c r="O315" s="96"/>
      <c r="P315" s="96"/>
      <c r="Q315" s="15" t="e">
        <v>#N/A</v>
      </c>
      <c r="R315" s="15" t="e">
        <v>#N/A</v>
      </c>
      <c r="S315" s="15"/>
      <c r="T315" s="100"/>
      <c r="U315" s="15"/>
      <c r="V315" s="15"/>
      <c r="W315" s="15"/>
      <c r="X315" s="96"/>
      <c r="Y315" s="69">
        <f ca="1">Table25[[#This Row],[End Date]]+2-TODAY()</f>
        <v>-45775</v>
      </c>
      <c r="Z315" s="15">
        <f>IF(ISBLANK(Table25[[#This Row],[Roster Received By]]),1,0)</f>
        <v>1</v>
      </c>
      <c r="AA315" s="15">
        <f ca="1">IF(Table25[[#This Row],[Start Date]]&gt;TODAY(),1,)</f>
        <v>0</v>
      </c>
    </row>
    <row r="316" spans="1:27" s="61" customFormat="1" hidden="1" x14ac:dyDescent="0.25">
      <c r="B316" s="115"/>
      <c r="C316" s="97" t="e">
        <v>#N/A</v>
      </c>
      <c r="D316" s="97" t="e">
        <v>#N/A</v>
      </c>
      <c r="E316" s="96"/>
      <c r="F316" s="107"/>
      <c r="G316" s="107"/>
      <c r="H316" s="102"/>
      <c r="I316" s="102"/>
      <c r="J316" s="99"/>
      <c r="K316" s="99"/>
      <c r="L316" s="99"/>
      <c r="M316" s="99"/>
      <c r="N316" s="99"/>
      <c r="O316" s="96"/>
      <c r="P316" s="96"/>
      <c r="Q316" s="15" t="e">
        <v>#N/A</v>
      </c>
      <c r="R316" s="15" t="e">
        <v>#N/A</v>
      </c>
      <c r="S316" s="15"/>
      <c r="T316" s="100"/>
      <c r="U316" s="15"/>
      <c r="V316" s="15"/>
      <c r="W316" s="15"/>
      <c r="X316" s="96"/>
      <c r="Y316" s="69">
        <f ca="1">Table25[[#This Row],[End Date]]+2-TODAY()</f>
        <v>-45775</v>
      </c>
      <c r="Z316" s="15">
        <f>IF(ISBLANK(Table25[[#This Row],[Roster Received By]]),1,0)</f>
        <v>1</v>
      </c>
      <c r="AA316" s="15">
        <f ca="1">IF(Table25[[#This Row],[Start Date]]&gt;TODAY(),1,)</f>
        <v>0</v>
      </c>
    </row>
    <row r="317" spans="1:27" s="61" customFormat="1" hidden="1" x14ac:dyDescent="0.25">
      <c r="A317" s="139"/>
      <c r="B317" s="115"/>
      <c r="C317" s="97" t="e">
        <v>#N/A</v>
      </c>
      <c r="D317" s="97" t="e">
        <v>#N/A</v>
      </c>
      <c r="E317" s="96"/>
      <c r="F317" s="129"/>
      <c r="G317" s="129"/>
      <c r="H317" s="102"/>
      <c r="I317" s="102"/>
      <c r="J317" s="99"/>
      <c r="K317" s="99"/>
      <c r="L317" s="99"/>
      <c r="M317" s="99"/>
      <c r="N317" s="99"/>
      <c r="O317" s="96"/>
      <c r="P317" s="96"/>
      <c r="Q317" s="15" t="e">
        <v>#N/A</v>
      </c>
      <c r="R317" s="15" t="e">
        <v>#N/A</v>
      </c>
      <c r="S317" s="100"/>
      <c r="T317" s="100"/>
      <c r="U317" s="15"/>
      <c r="V317" s="15"/>
      <c r="W317" s="15"/>
      <c r="X317" s="96"/>
      <c r="Y317" s="69">
        <f ca="1">Table25[[#This Row],[End Date]]+2-TODAY()</f>
        <v>-45775</v>
      </c>
      <c r="Z317" s="15">
        <f>IF(ISBLANK(Table25[[#This Row],[Roster Received By]]),1,0)</f>
        <v>1</v>
      </c>
      <c r="AA317" s="15">
        <f ca="1">IF(Table25[[#This Row],[Start Date]]&gt;TODAY(),1,)</f>
        <v>0</v>
      </c>
    </row>
    <row r="318" spans="1:27" s="61" customFormat="1" hidden="1" x14ac:dyDescent="0.25">
      <c r="A318" s="96"/>
      <c r="B318" s="115"/>
      <c r="C318" s="97" t="e">
        <v>#N/A</v>
      </c>
      <c r="D318" s="97" t="e">
        <v>#N/A</v>
      </c>
      <c r="E318" s="115"/>
      <c r="F318" s="130"/>
      <c r="G318" s="130"/>
      <c r="H318" s="66"/>
      <c r="I318" s="98"/>
      <c r="J318" s="98"/>
      <c r="K318" s="98"/>
      <c r="L318" s="98"/>
      <c r="M318" s="98"/>
      <c r="N318" s="98"/>
      <c r="O318" s="96"/>
      <c r="P318" s="96"/>
      <c r="Q318" s="15" t="e">
        <v>#N/A</v>
      </c>
      <c r="R318" s="15" t="e">
        <v>#N/A</v>
      </c>
      <c r="S318" s="15"/>
      <c r="T318" s="100"/>
      <c r="U318" s="15"/>
      <c r="V318" s="15"/>
      <c r="W318" s="15"/>
      <c r="X318" s="96"/>
      <c r="Y318" s="69">
        <f ca="1">Table25[[#This Row],[End Date]]+2-TODAY()</f>
        <v>-45775</v>
      </c>
      <c r="Z318" s="15">
        <f>IF(ISBLANK(Table25[[#This Row],[Roster Received By]]),1,0)</f>
        <v>1</v>
      </c>
      <c r="AA318" s="15">
        <f ca="1">IF(Table25[[#This Row],[Start Date]]&gt;TODAY(),1,)</f>
        <v>0</v>
      </c>
    </row>
    <row r="319" spans="1:27" s="61" customFormat="1" hidden="1" x14ac:dyDescent="0.25">
      <c r="B319" s="115"/>
      <c r="C319" s="97" t="e">
        <v>#N/A</v>
      </c>
      <c r="D319" s="97" t="e">
        <v>#N/A</v>
      </c>
      <c r="E319" s="115"/>
      <c r="F319" s="129"/>
      <c r="G319" s="129"/>
      <c r="H319" s="99"/>
      <c r="I319" s="98"/>
      <c r="J319" s="98"/>
      <c r="K319" s="98"/>
      <c r="L319" s="98"/>
      <c r="M319" s="98"/>
      <c r="N319" s="98"/>
      <c r="O319" s="96"/>
      <c r="P319" s="96"/>
      <c r="Q319" s="15" t="e">
        <v>#N/A</v>
      </c>
      <c r="R319" s="15" t="e">
        <v>#N/A</v>
      </c>
      <c r="S319" s="15"/>
      <c r="T319" s="100"/>
      <c r="U319" s="15"/>
      <c r="V319" s="15"/>
      <c r="W319" s="15"/>
      <c r="X319" s="96"/>
      <c r="Y319" s="69">
        <f ca="1">Table25[[#This Row],[End Date]]+2-TODAY()</f>
        <v>-45775</v>
      </c>
      <c r="Z319" s="15">
        <f>IF(ISBLANK(Table25[[#This Row],[Roster Received By]]),1,0)</f>
        <v>1</v>
      </c>
      <c r="AA319" s="15">
        <f ca="1">IF(Table25[[#This Row],[Start Date]]&gt;TODAY(),1,)</f>
        <v>0</v>
      </c>
    </row>
    <row r="320" spans="1:27" s="61" customFormat="1" hidden="1" x14ac:dyDescent="0.25">
      <c r="B320" s="115"/>
      <c r="C320" s="97" t="e">
        <v>#N/A</v>
      </c>
      <c r="D320" s="97" t="e">
        <v>#N/A</v>
      </c>
      <c r="E320" s="96"/>
      <c r="F320" s="99"/>
      <c r="G320" s="99"/>
      <c r="H320" s="102"/>
      <c r="I320" s="102"/>
      <c r="J320" s="102"/>
      <c r="K320" s="102"/>
      <c r="L320" s="102"/>
      <c r="M320" s="102"/>
      <c r="N320" s="99"/>
      <c r="O320" s="96"/>
      <c r="P320" s="96"/>
      <c r="Q320" s="15" t="e">
        <v>#N/A</v>
      </c>
      <c r="R320" s="15" t="e">
        <v>#N/A</v>
      </c>
      <c r="S320" s="15"/>
      <c r="T320" s="100"/>
      <c r="U320" s="15"/>
      <c r="V320" s="15"/>
      <c r="W320" s="15"/>
      <c r="X320" s="96"/>
      <c r="Y320" s="69">
        <f ca="1">Table25[[#This Row],[End Date]]+2-TODAY()</f>
        <v>-45775</v>
      </c>
      <c r="Z320" s="15">
        <f>IF(ISBLANK(Table25[[#This Row],[Roster Received By]]),1,0)</f>
        <v>1</v>
      </c>
      <c r="AA320" s="15">
        <f ca="1">IF(Table25[[#This Row],[Start Date]]&gt;TODAY(),1,)</f>
        <v>0</v>
      </c>
    </row>
    <row r="321" spans="1:27" s="61" customFormat="1" hidden="1" x14ac:dyDescent="0.25">
      <c r="B321" s="115"/>
      <c r="C321" s="97" t="e">
        <v>#N/A</v>
      </c>
      <c r="D321" s="97" t="e">
        <v>#N/A</v>
      </c>
      <c r="E321" s="65"/>
      <c r="F321" s="107"/>
      <c r="G321" s="107"/>
      <c r="H321" s="102"/>
      <c r="I321" s="102"/>
      <c r="J321" s="99"/>
      <c r="K321" s="99"/>
      <c r="L321" s="99"/>
      <c r="M321" s="99"/>
      <c r="N321" s="99"/>
      <c r="O321" s="96"/>
      <c r="P321" s="96"/>
      <c r="Q321" s="15" t="e">
        <v>#N/A</v>
      </c>
      <c r="R321" s="15" t="e">
        <v>#N/A</v>
      </c>
      <c r="S321" s="15"/>
      <c r="T321" s="100"/>
      <c r="U321" s="15"/>
      <c r="V321" s="15"/>
      <c r="W321" s="15"/>
      <c r="X321" s="96"/>
      <c r="Y321" s="69">
        <f ca="1">Table25[[#This Row],[End Date]]+2-TODAY()</f>
        <v>-45775</v>
      </c>
      <c r="Z321" s="15">
        <f>IF(ISBLANK(Table25[[#This Row],[Roster Received By]]),1,0)</f>
        <v>1</v>
      </c>
      <c r="AA321" s="15">
        <f ca="1">IF(Table25[[#This Row],[Start Date]]&gt;TODAY(),1,)</f>
        <v>0</v>
      </c>
    </row>
    <row r="322" spans="1:27" s="61" customFormat="1" hidden="1" x14ac:dyDescent="0.25">
      <c r="B322" s="115"/>
      <c r="C322" s="97" t="e">
        <v>#N/A</v>
      </c>
      <c r="D322" s="97" t="e">
        <v>#N/A</v>
      </c>
      <c r="E322" s="113"/>
      <c r="F322" s="107"/>
      <c r="G322" s="107"/>
      <c r="H322" s="105"/>
      <c r="I322" s="105"/>
      <c r="J322" s="99"/>
      <c r="K322" s="99"/>
      <c r="L322" s="99"/>
      <c r="M322" s="99"/>
      <c r="N322" s="99"/>
      <c r="O322" s="96"/>
      <c r="P322" s="96"/>
      <c r="Q322" s="15" t="e">
        <v>#N/A</v>
      </c>
      <c r="R322" s="15" t="e">
        <v>#N/A</v>
      </c>
      <c r="S322" s="15"/>
      <c r="T322" s="100"/>
      <c r="U322" s="15"/>
      <c r="V322" s="15"/>
      <c r="W322" s="15"/>
      <c r="X322" s="96"/>
      <c r="Y322" s="69">
        <f ca="1">Table25[[#This Row],[End Date]]+2-TODAY()</f>
        <v>-45775</v>
      </c>
      <c r="Z322" s="15">
        <f>IF(ISBLANK(Table25[[#This Row],[Roster Received By]]),1,0)</f>
        <v>1</v>
      </c>
      <c r="AA322" s="15">
        <f ca="1">IF(Table25[[#This Row],[Start Date]]&gt;TODAY(),1,)</f>
        <v>0</v>
      </c>
    </row>
    <row r="323" spans="1:27" s="61" customFormat="1" hidden="1" x14ac:dyDescent="0.25">
      <c r="B323" s="115"/>
      <c r="C323" s="97" t="e">
        <v>#N/A</v>
      </c>
      <c r="D323" s="97" t="e">
        <v>#N/A</v>
      </c>
      <c r="E323" s="113"/>
      <c r="F323" s="107"/>
      <c r="G323" s="107"/>
      <c r="H323" s="99"/>
      <c r="I323" s="98"/>
      <c r="J323" s="98"/>
      <c r="K323" s="98"/>
      <c r="L323" s="98"/>
      <c r="M323" s="98"/>
      <c r="N323" s="98"/>
      <c r="O323" s="96"/>
      <c r="P323" s="96"/>
      <c r="Q323" s="15" t="e">
        <v>#N/A</v>
      </c>
      <c r="R323" s="15" t="e">
        <v>#N/A</v>
      </c>
      <c r="S323" s="15"/>
      <c r="T323" s="100"/>
      <c r="U323" s="15"/>
      <c r="V323" s="15"/>
      <c r="W323" s="15"/>
      <c r="X323" s="96"/>
      <c r="Y323" s="69">
        <f ca="1">Table25[[#This Row],[End Date]]+2-TODAY()</f>
        <v>-45775</v>
      </c>
      <c r="Z323" s="15">
        <f>IF(ISBLANK(Table25[[#This Row],[Roster Received By]]),1,0)</f>
        <v>1</v>
      </c>
      <c r="AA323" s="15">
        <f ca="1">IF(Table25[[#This Row],[Start Date]]&gt;TODAY(),1,)</f>
        <v>0</v>
      </c>
    </row>
    <row r="324" spans="1:27" s="61" customFormat="1" hidden="1" x14ac:dyDescent="0.25">
      <c r="A324" s="96"/>
      <c r="B324" s="115"/>
      <c r="C324" s="97" t="e">
        <v>#N/A</v>
      </c>
      <c r="D324" s="97" t="e">
        <v>#N/A</v>
      </c>
      <c r="E324" s="113"/>
      <c r="F324" s="107"/>
      <c r="G324" s="107"/>
      <c r="H324" s="102"/>
      <c r="I324" s="102"/>
      <c r="J324" s="99"/>
      <c r="K324" s="99"/>
      <c r="L324" s="99"/>
      <c r="M324" s="99"/>
      <c r="N324" s="99"/>
      <c r="O324" s="96"/>
      <c r="P324" s="96"/>
      <c r="Q324" s="15" t="e">
        <v>#N/A</v>
      </c>
      <c r="R324" s="15" t="e">
        <v>#N/A</v>
      </c>
      <c r="S324" s="15"/>
      <c r="T324" s="100"/>
      <c r="U324" s="15"/>
      <c r="V324" s="15"/>
      <c r="W324" s="100"/>
      <c r="X324" s="96"/>
      <c r="Y324" s="69">
        <f ca="1">Table25[[#This Row],[End Date]]+2-TODAY()</f>
        <v>-45775</v>
      </c>
      <c r="Z324" s="15">
        <f>IF(ISBLANK(Table25[[#This Row],[Roster Received By]]),1,0)</f>
        <v>1</v>
      </c>
      <c r="AA324" s="15">
        <f ca="1">IF(Table25[[#This Row],[Start Date]]&gt;TODAY(),1,)</f>
        <v>0</v>
      </c>
    </row>
    <row r="325" spans="1:27" s="61" customFormat="1" hidden="1" x14ac:dyDescent="0.25">
      <c r="B325" s="115"/>
      <c r="C325" s="97" t="e">
        <v>#N/A</v>
      </c>
      <c r="D325" s="97" t="e">
        <v>#N/A</v>
      </c>
      <c r="E325" s="113"/>
      <c r="F325" s="107"/>
      <c r="G325" s="107"/>
      <c r="H325" s="102"/>
      <c r="I325" s="102"/>
      <c r="J325" s="99"/>
      <c r="K325" s="99"/>
      <c r="L325" s="99"/>
      <c r="M325" s="99"/>
      <c r="N325" s="99"/>
      <c r="O325" s="96"/>
      <c r="P325" s="96"/>
      <c r="Q325" s="15" t="e">
        <v>#N/A</v>
      </c>
      <c r="R325" s="15" t="e">
        <v>#N/A</v>
      </c>
      <c r="S325" s="15"/>
      <c r="T325" s="100"/>
      <c r="U325" s="15"/>
      <c r="V325" s="15"/>
      <c r="W325" s="15"/>
      <c r="X325" s="96"/>
      <c r="Y325" s="69">
        <f ca="1">Table25[[#This Row],[End Date]]+2-TODAY()</f>
        <v>-45775</v>
      </c>
      <c r="Z325" s="15">
        <f>IF(ISBLANK(Table25[[#This Row],[Roster Received By]]),1,0)</f>
        <v>1</v>
      </c>
      <c r="AA325" s="15">
        <f ca="1">IF(Table25[[#This Row],[Start Date]]&gt;TODAY(),1,)</f>
        <v>0</v>
      </c>
    </row>
    <row r="326" spans="1:27" s="61" customFormat="1" hidden="1" x14ac:dyDescent="0.25">
      <c r="B326" s="115"/>
      <c r="C326" s="97" t="e">
        <v>#N/A</v>
      </c>
      <c r="D326" s="97" t="e">
        <v>#N/A</v>
      </c>
      <c r="E326" s="113"/>
      <c r="F326" s="107"/>
      <c r="G326" s="107"/>
      <c r="H326" s="99"/>
      <c r="I326" s="98"/>
      <c r="J326" s="98"/>
      <c r="K326" s="98"/>
      <c r="L326" s="98"/>
      <c r="M326" s="98"/>
      <c r="N326" s="98"/>
      <c r="O326" s="96"/>
      <c r="P326" s="96"/>
      <c r="Q326" s="15" t="e">
        <v>#N/A</v>
      </c>
      <c r="R326" s="15" t="e">
        <v>#N/A</v>
      </c>
      <c r="S326" s="15"/>
      <c r="T326" s="100"/>
      <c r="U326" s="15"/>
      <c r="V326" s="15"/>
      <c r="W326" s="97"/>
      <c r="X326" s="96"/>
      <c r="Y326" s="69">
        <f ca="1">Table25[[#This Row],[End Date]]+2-TODAY()</f>
        <v>-45775</v>
      </c>
      <c r="Z326" s="15">
        <f>IF(ISBLANK(Table25[[#This Row],[Roster Received By]]),1,0)</f>
        <v>1</v>
      </c>
      <c r="AA326" s="15">
        <f ca="1">IF(Table25[[#This Row],[Start Date]]&gt;TODAY(),1,)</f>
        <v>0</v>
      </c>
    </row>
    <row r="327" spans="1:27" s="61" customFormat="1" hidden="1" x14ac:dyDescent="0.25">
      <c r="B327" s="115"/>
      <c r="C327" s="97" t="e">
        <v>#N/A</v>
      </c>
      <c r="D327" s="97" t="e">
        <v>#N/A</v>
      </c>
      <c r="E327" s="96"/>
      <c r="F327" s="107"/>
      <c r="G327" s="107"/>
      <c r="H327" s="99"/>
      <c r="I327" s="98"/>
      <c r="J327" s="98"/>
      <c r="K327" s="98"/>
      <c r="L327" s="98"/>
      <c r="M327" s="98"/>
      <c r="N327" s="98"/>
      <c r="O327" s="96"/>
      <c r="P327" s="96"/>
      <c r="Q327" s="15" t="e">
        <v>#N/A</v>
      </c>
      <c r="R327" s="15" t="e">
        <v>#N/A</v>
      </c>
      <c r="S327" s="15"/>
      <c r="T327" s="100"/>
      <c r="U327" s="15"/>
      <c r="V327" s="15"/>
      <c r="W327" s="15"/>
      <c r="X327" s="96"/>
      <c r="Y327" s="69">
        <f ca="1">Table25[[#This Row],[End Date]]+2-TODAY()</f>
        <v>-45775</v>
      </c>
      <c r="Z327" s="15">
        <f>IF(ISBLANK(Table25[[#This Row],[Roster Received By]]),1,0)</f>
        <v>1</v>
      </c>
      <c r="AA327" s="15">
        <f ca="1">IF(Table25[[#This Row],[Start Date]]&gt;TODAY(),1,)</f>
        <v>0</v>
      </c>
    </row>
    <row r="328" spans="1:27" s="61" customFormat="1" hidden="1" x14ac:dyDescent="0.25">
      <c r="B328" s="116"/>
      <c r="C328" s="97" t="e">
        <v>#N/A</v>
      </c>
      <c r="D328" s="97" t="e">
        <v>#N/A</v>
      </c>
      <c r="E328" s="113"/>
      <c r="F328" s="95"/>
      <c r="G328" s="95"/>
      <c r="H328" s="66"/>
      <c r="I328" s="98"/>
      <c r="J328" s="98"/>
      <c r="K328" s="98"/>
      <c r="L328" s="98"/>
      <c r="M328" s="98"/>
      <c r="N328" s="98"/>
      <c r="O328" s="96"/>
      <c r="P328" s="96"/>
      <c r="Q328" s="15" t="e">
        <v>#N/A</v>
      </c>
      <c r="R328" s="15" t="e">
        <v>#N/A</v>
      </c>
      <c r="S328" s="15"/>
      <c r="T328" s="100"/>
      <c r="U328" s="15"/>
      <c r="V328" s="15"/>
      <c r="W328" s="15"/>
      <c r="X328" s="96"/>
      <c r="Y328" s="69">
        <f ca="1">Table25[[#This Row],[End Date]]+2-TODAY()</f>
        <v>-45775</v>
      </c>
      <c r="Z328" s="15">
        <f>IF(ISBLANK(Table25[[#This Row],[Roster Received By]]),1,0)</f>
        <v>1</v>
      </c>
      <c r="AA328" s="15">
        <f ca="1">IF(Table25[[#This Row],[Start Date]]&gt;TODAY(),1,)</f>
        <v>0</v>
      </c>
    </row>
    <row r="329" spans="1:27" s="61" customFormat="1" hidden="1" x14ac:dyDescent="0.25">
      <c r="A329" s="96"/>
      <c r="B329" s="115"/>
      <c r="C329" s="97" t="e">
        <v>#N/A</v>
      </c>
      <c r="D329" s="97" t="e">
        <v>#N/A</v>
      </c>
      <c r="E329" s="113"/>
      <c r="F329" s="107"/>
      <c r="G329" s="107"/>
      <c r="H329" s="99"/>
      <c r="I329" s="98"/>
      <c r="J329" s="98"/>
      <c r="K329" s="98"/>
      <c r="L329" s="98"/>
      <c r="M329" s="98"/>
      <c r="N329" s="98"/>
      <c r="O329" s="96"/>
      <c r="P329" s="96"/>
      <c r="Q329" s="15" t="e">
        <v>#N/A</v>
      </c>
      <c r="R329" s="15" t="e">
        <v>#N/A</v>
      </c>
      <c r="S329" s="15"/>
      <c r="T329" s="100"/>
      <c r="U329" s="15"/>
      <c r="V329" s="15"/>
      <c r="W329" s="15"/>
      <c r="X329" s="96"/>
      <c r="Y329" s="69">
        <f ca="1">Table25[[#This Row],[End Date]]+2-TODAY()</f>
        <v>-45775</v>
      </c>
      <c r="Z329" s="15">
        <f>IF(ISBLANK(Table25[[#This Row],[Roster Received By]]),1,0)</f>
        <v>1</v>
      </c>
      <c r="AA329" s="15">
        <f ca="1">IF(Table25[[#This Row],[Start Date]]&gt;TODAY(),1,)</f>
        <v>0</v>
      </c>
    </row>
    <row r="330" spans="1:27" s="61" customFormat="1" hidden="1" x14ac:dyDescent="0.25">
      <c r="B330" s="115"/>
      <c r="C330" s="97" t="e">
        <v>#N/A</v>
      </c>
      <c r="D330" s="97" t="e">
        <v>#N/A</v>
      </c>
      <c r="E330" s="115"/>
      <c r="F330" s="107"/>
      <c r="G330" s="107"/>
      <c r="H330" s="99"/>
      <c r="I330" s="98"/>
      <c r="J330" s="98"/>
      <c r="K330" s="98"/>
      <c r="L330" s="98"/>
      <c r="M330" s="98"/>
      <c r="N330" s="98"/>
      <c r="O330" s="96"/>
      <c r="P330" s="96"/>
      <c r="Q330" s="15" t="e">
        <v>#N/A</v>
      </c>
      <c r="R330" s="15" t="e">
        <v>#N/A</v>
      </c>
      <c r="S330" s="15"/>
      <c r="T330" s="100"/>
      <c r="U330" s="15"/>
      <c r="V330" s="15"/>
      <c r="W330" s="15"/>
      <c r="X330" s="96"/>
      <c r="Y330" s="69">
        <f ca="1">Table25[[#This Row],[End Date]]+2-TODAY()</f>
        <v>-45775</v>
      </c>
      <c r="Z330" s="15">
        <f>IF(ISBLANK(Table25[[#This Row],[Roster Received By]]),1,0)</f>
        <v>1</v>
      </c>
      <c r="AA330" s="15">
        <f ca="1">IF(Table25[[#This Row],[Start Date]]&gt;TODAY(),1,)</f>
        <v>0</v>
      </c>
    </row>
    <row r="331" spans="1:27" s="61" customFormat="1" hidden="1" x14ac:dyDescent="0.25">
      <c r="B331" s="115"/>
      <c r="C331" s="97" t="e">
        <v>#N/A</v>
      </c>
      <c r="D331" s="97" t="e">
        <v>#N/A</v>
      </c>
      <c r="E331" s="115"/>
      <c r="F331" s="107"/>
      <c r="G331" s="107"/>
      <c r="H331" s="99"/>
      <c r="I331" s="98"/>
      <c r="J331" s="98"/>
      <c r="K331" s="98"/>
      <c r="L331" s="98"/>
      <c r="M331" s="98"/>
      <c r="N331" s="98"/>
      <c r="O331" s="96"/>
      <c r="P331" s="96"/>
      <c r="Q331" s="15" t="e">
        <v>#N/A</v>
      </c>
      <c r="R331" s="15" t="e">
        <v>#N/A</v>
      </c>
      <c r="S331" s="15"/>
      <c r="T331" s="100"/>
      <c r="U331" s="15"/>
      <c r="V331" s="15"/>
      <c r="W331" s="15"/>
      <c r="X331" s="96"/>
      <c r="Y331" s="69">
        <f ca="1">Table25[[#This Row],[End Date]]+2-TODAY()</f>
        <v>-45775</v>
      </c>
      <c r="Z331" s="15">
        <f>IF(ISBLANK(Table25[[#This Row],[Roster Received By]]),1,0)</f>
        <v>1</v>
      </c>
      <c r="AA331" s="15">
        <f ca="1">IF(Table25[[#This Row],[Start Date]]&gt;TODAY(),1,)</f>
        <v>0</v>
      </c>
    </row>
    <row r="332" spans="1:27" s="61" customFormat="1" hidden="1" x14ac:dyDescent="0.25">
      <c r="B332" s="115"/>
      <c r="C332" s="97" t="e">
        <v>#N/A</v>
      </c>
      <c r="D332" s="97" t="e">
        <v>#N/A</v>
      </c>
      <c r="E332" s="115"/>
      <c r="F332" s="107"/>
      <c r="G332" s="107"/>
      <c r="H332" s="99"/>
      <c r="I332" s="98"/>
      <c r="J332" s="98"/>
      <c r="K332" s="98"/>
      <c r="L332" s="98"/>
      <c r="M332" s="98"/>
      <c r="N332" s="98"/>
      <c r="O332" s="96"/>
      <c r="P332" s="96"/>
      <c r="Q332" s="15" t="e">
        <v>#N/A</v>
      </c>
      <c r="R332" s="15" t="e">
        <v>#N/A</v>
      </c>
      <c r="S332" s="15"/>
      <c r="T332" s="100"/>
      <c r="U332" s="15"/>
      <c r="V332" s="15"/>
      <c r="W332" s="15"/>
      <c r="X332" s="96"/>
      <c r="Y332" s="69">
        <f ca="1">Table25[[#This Row],[End Date]]+2-TODAY()</f>
        <v>-45775</v>
      </c>
      <c r="Z332" s="15">
        <f>IF(ISBLANK(Table25[[#This Row],[Roster Received By]]),1,0)</f>
        <v>1</v>
      </c>
      <c r="AA332" s="15">
        <f ca="1">IF(Table25[[#This Row],[Start Date]]&gt;TODAY(),1,)</f>
        <v>0</v>
      </c>
    </row>
    <row r="333" spans="1:27" s="103" customFormat="1" ht="15.75" hidden="1" customHeight="1" x14ac:dyDescent="0.25">
      <c r="A333" s="61"/>
      <c r="B333" s="115"/>
      <c r="C333" s="97" t="e">
        <v>#N/A</v>
      </c>
      <c r="D333" s="97" t="e">
        <v>#N/A</v>
      </c>
      <c r="E333" s="126"/>
      <c r="F333" s="107"/>
      <c r="G333" s="107"/>
      <c r="H333" s="102"/>
      <c r="I333" s="102"/>
      <c r="J333" s="102"/>
      <c r="K333" s="102"/>
      <c r="L333" s="102"/>
      <c r="M333" s="102"/>
      <c r="N333" s="99"/>
      <c r="O333" s="96"/>
      <c r="P333" s="96"/>
      <c r="Q333" s="15" t="e">
        <v>#N/A</v>
      </c>
      <c r="R333" s="15" t="e">
        <v>#N/A</v>
      </c>
      <c r="S333" s="15"/>
      <c r="T333" s="100"/>
      <c r="U333" s="15"/>
      <c r="V333" s="15"/>
      <c r="W333" s="15"/>
      <c r="X333" s="96"/>
      <c r="Y333" s="69">
        <f ca="1">Table25[[#This Row],[End Date]]+2-TODAY()</f>
        <v>-45775</v>
      </c>
      <c r="Z333" s="15">
        <f>IF(ISBLANK(Table25[[#This Row],[Roster Received By]]),1,0)</f>
        <v>1</v>
      </c>
      <c r="AA333" s="15">
        <f ca="1">IF(Table25[[#This Row],[Start Date]]&gt;TODAY(),1,)</f>
        <v>0</v>
      </c>
    </row>
    <row r="334" spans="1:27" s="103" customFormat="1" ht="15.75" hidden="1" customHeight="1" x14ac:dyDescent="0.25">
      <c r="A334" s="96"/>
      <c r="B334" s="115"/>
      <c r="C334" s="97" t="e">
        <v>#N/A</v>
      </c>
      <c r="D334" s="97" t="e">
        <v>#N/A</v>
      </c>
      <c r="E334" s="126"/>
      <c r="F334" s="107"/>
      <c r="G334" s="107"/>
      <c r="H334" s="102"/>
      <c r="I334" s="102"/>
      <c r="J334" s="99"/>
      <c r="K334" s="99"/>
      <c r="L334" s="99"/>
      <c r="M334" s="99"/>
      <c r="N334" s="99"/>
      <c r="O334" s="96"/>
      <c r="P334" s="96"/>
      <c r="Q334" s="15" t="e">
        <v>#N/A</v>
      </c>
      <c r="R334" s="15" t="e">
        <v>#N/A</v>
      </c>
      <c r="S334" s="15"/>
      <c r="T334" s="100"/>
      <c r="U334" s="15"/>
      <c r="V334" s="15"/>
      <c r="W334" s="15"/>
      <c r="X334" s="96"/>
      <c r="Y334" s="69">
        <f ca="1">Table25[[#This Row],[End Date]]+2-TODAY()</f>
        <v>-45775</v>
      </c>
      <c r="Z334" s="15">
        <f>IF(ISBLANK(Table25[[#This Row],[Roster Received By]]),1,0)</f>
        <v>1</v>
      </c>
      <c r="AA334" s="15">
        <f ca="1">IF(Table25[[#This Row],[Start Date]]&gt;TODAY(),1,)</f>
        <v>0</v>
      </c>
    </row>
    <row r="335" spans="1:27" s="103" customFormat="1" ht="15.75" hidden="1" customHeight="1" x14ac:dyDescent="0.25">
      <c r="A335" s="61"/>
      <c r="B335" s="115"/>
      <c r="C335" s="97" t="e">
        <v>#N/A</v>
      </c>
      <c r="D335" s="97" t="e">
        <v>#N/A</v>
      </c>
      <c r="E335" s="115"/>
      <c r="F335" s="107"/>
      <c r="G335" s="107"/>
      <c r="H335" s="99"/>
      <c r="I335" s="98"/>
      <c r="J335" s="98"/>
      <c r="K335" s="98"/>
      <c r="L335" s="98"/>
      <c r="M335" s="98"/>
      <c r="N335" s="98"/>
      <c r="O335" s="96"/>
      <c r="P335" s="96"/>
      <c r="Q335" s="15" t="e">
        <v>#N/A</v>
      </c>
      <c r="R335" s="15" t="e">
        <v>#N/A</v>
      </c>
      <c r="S335" s="15"/>
      <c r="T335" s="100"/>
      <c r="U335" s="15"/>
      <c r="V335" s="15"/>
      <c r="W335" s="104"/>
      <c r="X335" s="96"/>
      <c r="Y335" s="69">
        <f ca="1">Table25[[#This Row],[End Date]]+2-TODAY()</f>
        <v>-45775</v>
      </c>
      <c r="Z335" s="15">
        <f>IF(ISBLANK(Table25[[#This Row],[Roster Received By]]),1,0)</f>
        <v>1</v>
      </c>
      <c r="AA335" s="15">
        <f ca="1">IF(Table25[[#This Row],[Start Date]]&gt;TODAY(),1,)</f>
        <v>0</v>
      </c>
    </row>
    <row r="336" spans="1:27" s="103" customFormat="1" ht="15.75" hidden="1" customHeight="1" x14ac:dyDescent="0.25">
      <c r="A336" s="61"/>
      <c r="B336" s="115"/>
      <c r="C336" s="97" t="e">
        <v>#N/A</v>
      </c>
      <c r="D336" s="97" t="e">
        <v>#N/A</v>
      </c>
      <c r="E336" s="115"/>
      <c r="F336" s="107"/>
      <c r="G336" s="107"/>
      <c r="H336" s="102"/>
      <c r="I336" s="102"/>
      <c r="J336" s="102"/>
      <c r="K336" s="102"/>
      <c r="L336" s="102"/>
      <c r="M336" s="102"/>
      <c r="N336" s="99"/>
      <c r="O336" s="96"/>
      <c r="P336" s="96"/>
      <c r="Q336" s="15" t="e">
        <v>#N/A</v>
      </c>
      <c r="R336" s="15" t="e">
        <v>#N/A</v>
      </c>
      <c r="S336" s="15"/>
      <c r="T336" s="100"/>
      <c r="U336" s="15"/>
      <c r="V336" s="15"/>
      <c r="W336" s="15"/>
      <c r="X336" s="96"/>
      <c r="Y336" s="69">
        <f ca="1">Table25[[#This Row],[End Date]]+2-TODAY()</f>
        <v>-45775</v>
      </c>
      <c r="Z336" s="15">
        <f>IF(ISBLANK(Table25[[#This Row],[Roster Received By]]),1,0)</f>
        <v>1</v>
      </c>
      <c r="AA336" s="15">
        <f ca="1">IF(Table25[[#This Row],[Start Date]]&gt;TODAY(),1,)</f>
        <v>0</v>
      </c>
    </row>
    <row r="337" spans="1:27" s="103" customFormat="1" ht="15.75" hidden="1" customHeight="1" x14ac:dyDescent="0.25">
      <c r="A337" s="61"/>
      <c r="B337" s="113"/>
      <c r="C337" s="97" t="e">
        <v>#N/A</v>
      </c>
      <c r="D337" s="97" t="e">
        <v>#N/A</v>
      </c>
      <c r="E337" s="113"/>
      <c r="F337" s="107"/>
      <c r="G337" s="107"/>
      <c r="H337" s="105"/>
      <c r="I337" s="105"/>
      <c r="J337" s="99"/>
      <c r="K337" s="99"/>
      <c r="L337" s="99"/>
      <c r="M337" s="99"/>
      <c r="N337" s="99"/>
      <c r="O337" s="96"/>
      <c r="P337" s="96"/>
      <c r="Q337" s="15" t="e">
        <v>#N/A</v>
      </c>
      <c r="R337" s="15" t="e">
        <v>#N/A</v>
      </c>
      <c r="S337" s="15"/>
      <c r="T337" s="100"/>
      <c r="U337" s="15"/>
      <c r="V337" s="15"/>
      <c r="W337" s="97"/>
      <c r="X337" s="96"/>
      <c r="Y337" s="69">
        <f ca="1">Table25[[#This Row],[End Date]]+2-TODAY()</f>
        <v>-45775</v>
      </c>
      <c r="Z337" s="15">
        <f>IF(ISBLANK(Table25[[#This Row],[Roster Received By]]),1,0)</f>
        <v>1</v>
      </c>
      <c r="AA337" s="15">
        <f ca="1">IF(Table25[[#This Row],[Start Date]]&gt;TODAY(),1,)</f>
        <v>0</v>
      </c>
    </row>
    <row r="338" spans="1:27" s="103" customFormat="1" ht="15.75" hidden="1" customHeight="1" x14ac:dyDescent="0.25">
      <c r="A338" s="61"/>
      <c r="B338" s="113"/>
      <c r="C338" s="97" t="e">
        <v>#N/A</v>
      </c>
      <c r="D338" s="97" t="e">
        <v>#N/A</v>
      </c>
      <c r="E338" s="96"/>
      <c r="F338" s="107"/>
      <c r="G338" s="107"/>
      <c r="H338" s="105"/>
      <c r="I338" s="105"/>
      <c r="J338" s="99"/>
      <c r="K338" s="99"/>
      <c r="L338" s="99"/>
      <c r="M338" s="99"/>
      <c r="N338" s="99"/>
      <c r="O338" s="96"/>
      <c r="P338" s="96"/>
      <c r="Q338" s="15" t="e">
        <v>#N/A</v>
      </c>
      <c r="R338" s="15" t="e">
        <v>#N/A</v>
      </c>
      <c r="S338" s="15"/>
      <c r="T338" s="100"/>
      <c r="U338" s="15"/>
      <c r="V338" s="15"/>
      <c r="W338" s="15"/>
      <c r="X338" s="96"/>
      <c r="Y338" s="69">
        <f ca="1">Table25[[#This Row],[End Date]]+2-TODAY()</f>
        <v>-45775</v>
      </c>
      <c r="Z338" s="15">
        <f>IF(ISBLANK(Table25[[#This Row],[Roster Received By]]),1,0)</f>
        <v>1</v>
      </c>
      <c r="AA338" s="15">
        <f ca="1">IF(Table25[[#This Row],[Start Date]]&gt;TODAY(),1,)</f>
        <v>0</v>
      </c>
    </row>
    <row r="339" spans="1:27" s="103" customFormat="1" ht="15.75" hidden="1" customHeight="1" x14ac:dyDescent="0.25">
      <c r="A339" s="61"/>
      <c r="B339" s="115"/>
      <c r="C339" s="97" t="e">
        <v>#N/A</v>
      </c>
      <c r="D339" s="97" t="e">
        <v>#N/A</v>
      </c>
      <c r="E339" s="113"/>
      <c r="F339" s="107"/>
      <c r="G339" s="107"/>
      <c r="H339" s="99"/>
      <c r="I339" s="98"/>
      <c r="J339" s="98"/>
      <c r="K339" s="98"/>
      <c r="L339" s="98"/>
      <c r="M339" s="98"/>
      <c r="N339" s="98"/>
      <c r="O339" s="96"/>
      <c r="P339" s="96"/>
      <c r="Q339" s="15" t="e">
        <v>#N/A</v>
      </c>
      <c r="R339" s="15" t="e">
        <v>#N/A</v>
      </c>
      <c r="S339" s="15"/>
      <c r="T339" s="100"/>
      <c r="U339" s="15"/>
      <c r="V339" s="15"/>
      <c r="W339" s="15"/>
      <c r="X339" s="96"/>
      <c r="Y339" s="69">
        <f ca="1">Table25[[#This Row],[End Date]]+2-TODAY()</f>
        <v>-45775</v>
      </c>
      <c r="Z339" s="15">
        <f>IF(ISBLANK(Table25[[#This Row],[Roster Received By]]),1,0)</f>
        <v>1</v>
      </c>
      <c r="AA339" s="15">
        <f ca="1">IF(Table25[[#This Row],[Start Date]]&gt;TODAY(),1,)</f>
        <v>0</v>
      </c>
    </row>
    <row r="340" spans="1:27" s="103" customFormat="1" ht="15.75" hidden="1" customHeight="1" x14ac:dyDescent="0.25">
      <c r="A340" s="61"/>
      <c r="B340" s="113"/>
      <c r="C340" s="97" t="e">
        <v>#N/A</v>
      </c>
      <c r="D340" s="97" t="e">
        <v>#N/A</v>
      </c>
      <c r="E340" s="113"/>
      <c r="F340" s="117"/>
      <c r="G340" s="118"/>
      <c r="H340" s="105"/>
      <c r="I340" s="105"/>
      <c r="J340" s="99"/>
      <c r="K340" s="99"/>
      <c r="L340" s="99"/>
      <c r="M340" s="99"/>
      <c r="N340" s="99"/>
      <c r="O340" s="96"/>
      <c r="P340" s="96"/>
      <c r="Q340" s="15" t="e">
        <v>#N/A</v>
      </c>
      <c r="R340" s="15" t="e">
        <v>#N/A</v>
      </c>
      <c r="S340" s="15"/>
      <c r="T340" s="100"/>
      <c r="U340" s="15"/>
      <c r="V340" s="15"/>
      <c r="W340" s="15"/>
      <c r="X340" s="96"/>
      <c r="Y340" s="69">
        <f ca="1">Table25[[#This Row],[End Date]]+2-TODAY()</f>
        <v>-45775</v>
      </c>
      <c r="Z340" s="15">
        <f>IF(ISBLANK(Table25[[#This Row],[Roster Received By]]),1,0)</f>
        <v>1</v>
      </c>
      <c r="AA340" s="15">
        <f ca="1">IF(Table25[[#This Row],[Start Date]]&gt;TODAY(),1,)</f>
        <v>0</v>
      </c>
    </row>
    <row r="341" spans="1:27" s="103" customFormat="1" ht="15.75" hidden="1" customHeight="1" x14ac:dyDescent="0.25">
      <c r="A341" s="96"/>
      <c r="B341" s="113"/>
      <c r="C341" s="97" t="e">
        <v>#N/A</v>
      </c>
      <c r="D341" s="97" t="e">
        <v>#N/A</v>
      </c>
      <c r="E341" s="113"/>
      <c r="F341" s="129"/>
      <c r="G341" s="129"/>
      <c r="H341" s="105"/>
      <c r="I341" s="105"/>
      <c r="J341" s="99"/>
      <c r="K341" s="99"/>
      <c r="L341" s="99"/>
      <c r="M341" s="99"/>
      <c r="N341" s="99"/>
      <c r="O341" s="96"/>
      <c r="P341" s="96"/>
      <c r="Q341" s="15" t="e">
        <v>#N/A</v>
      </c>
      <c r="R341" s="15" t="e">
        <v>#N/A</v>
      </c>
      <c r="S341" s="15"/>
      <c r="T341" s="100"/>
      <c r="U341" s="15"/>
      <c r="V341" s="15"/>
      <c r="W341" s="15"/>
      <c r="X341" s="96"/>
      <c r="Y341" s="69">
        <f ca="1">Table25[[#This Row],[End Date]]+2-TODAY()</f>
        <v>-45775</v>
      </c>
      <c r="Z341" s="15">
        <f>IF(ISBLANK(Table25[[#This Row],[Roster Received By]]),1,0)</f>
        <v>1</v>
      </c>
      <c r="AA341" s="15">
        <f ca="1">IF(Table25[[#This Row],[Start Date]]&gt;TODAY(),1,)</f>
        <v>0</v>
      </c>
    </row>
    <row r="342" spans="1:27" s="103" customFormat="1" ht="15.75" hidden="1" customHeight="1" x14ac:dyDescent="0.25">
      <c r="A342" s="61"/>
      <c r="B342" s="113"/>
      <c r="C342" s="97" t="e">
        <v>#N/A</v>
      </c>
      <c r="D342" s="97" t="e">
        <v>#N/A</v>
      </c>
      <c r="E342" s="65"/>
      <c r="F342" s="130"/>
      <c r="G342" s="130"/>
      <c r="H342" s="98"/>
      <c r="I342" s="98"/>
      <c r="J342" s="99"/>
      <c r="K342" s="99"/>
      <c r="L342" s="99"/>
      <c r="M342" s="99"/>
      <c r="N342" s="99"/>
      <c r="O342" s="96"/>
      <c r="P342" s="96"/>
      <c r="Q342" s="15" t="e">
        <v>#N/A</v>
      </c>
      <c r="R342" s="15" t="e">
        <v>#N/A</v>
      </c>
      <c r="S342" s="15"/>
      <c r="T342" s="100"/>
      <c r="U342" s="15"/>
      <c r="V342" s="15"/>
      <c r="W342" s="15"/>
      <c r="X342" s="96"/>
      <c r="Y342" s="69">
        <f ca="1">Table25[[#This Row],[End Date]]+2-TODAY()</f>
        <v>-45775</v>
      </c>
      <c r="Z342" s="15">
        <f>IF(ISBLANK(Table25[[#This Row],[Roster Received By]]),1,0)</f>
        <v>1</v>
      </c>
      <c r="AA342" s="15">
        <f ca="1">IF(Table25[[#This Row],[Start Date]]&gt;TODAY(),1,)</f>
        <v>0</v>
      </c>
    </row>
    <row r="343" spans="1:27" s="103" customFormat="1" ht="15.75" hidden="1" customHeight="1" x14ac:dyDescent="0.25">
      <c r="A343" s="96"/>
      <c r="B343" s="115"/>
      <c r="C343" s="97" t="e">
        <v>#N/A</v>
      </c>
      <c r="D343" s="97" t="e">
        <v>#N/A</v>
      </c>
      <c r="E343" s="113"/>
      <c r="F343" s="129"/>
      <c r="G343" s="129"/>
      <c r="H343" s="99"/>
      <c r="I343" s="98"/>
      <c r="J343" s="98"/>
      <c r="K343" s="98"/>
      <c r="L343" s="98"/>
      <c r="M343" s="98"/>
      <c r="N343" s="98"/>
      <c r="O343" s="96"/>
      <c r="P343" s="96"/>
      <c r="Q343" s="15" t="e">
        <v>#N/A</v>
      </c>
      <c r="R343" s="15" t="e">
        <v>#N/A</v>
      </c>
      <c r="S343" s="15"/>
      <c r="T343" s="100"/>
      <c r="U343" s="15"/>
      <c r="V343" s="15"/>
      <c r="W343" s="15"/>
      <c r="X343" s="96"/>
      <c r="Y343" s="69">
        <f ca="1">Table25[[#This Row],[End Date]]+2-TODAY()</f>
        <v>-45775</v>
      </c>
      <c r="Z343" s="15">
        <f>IF(ISBLANK(Table25[[#This Row],[Roster Received By]]),1,0)</f>
        <v>1</v>
      </c>
      <c r="AA343" s="15">
        <f ca="1">IF(Table25[[#This Row],[Start Date]]&gt;TODAY(),1,)</f>
        <v>0</v>
      </c>
    </row>
    <row r="344" spans="1:27" s="103" customFormat="1" ht="15.75" hidden="1" customHeight="1" x14ac:dyDescent="0.25">
      <c r="A344" s="96"/>
      <c r="B344" s="113"/>
      <c r="C344" s="97" t="e">
        <v>#N/A</v>
      </c>
      <c r="D344" s="97" t="e">
        <v>#N/A</v>
      </c>
      <c r="E344" s="113"/>
      <c r="F344" s="129"/>
      <c r="G344" s="129"/>
      <c r="H344" s="102"/>
      <c r="I344" s="102"/>
      <c r="J344" s="99"/>
      <c r="K344" s="99"/>
      <c r="L344" s="99"/>
      <c r="M344" s="99"/>
      <c r="N344" s="99"/>
      <c r="O344" s="96"/>
      <c r="P344" s="96"/>
      <c r="Q344" s="15" t="e">
        <v>#N/A</v>
      </c>
      <c r="R344" s="15" t="e">
        <v>#N/A</v>
      </c>
      <c r="S344" s="15"/>
      <c r="T344" s="100"/>
      <c r="U344" s="15"/>
      <c r="V344" s="15"/>
      <c r="W344" s="15"/>
      <c r="X344" s="96"/>
      <c r="Y344" s="69">
        <f ca="1">Table25[[#This Row],[End Date]]+2-TODAY()</f>
        <v>-45775</v>
      </c>
      <c r="Z344" s="15">
        <f>IF(ISBLANK(Table25[[#This Row],[Roster Received By]]),1,0)</f>
        <v>1</v>
      </c>
      <c r="AA344" s="15">
        <f ca="1">IF(Table25[[#This Row],[Start Date]]&gt;TODAY(),1,)</f>
        <v>0</v>
      </c>
    </row>
    <row r="345" spans="1:27" s="103" customFormat="1" ht="15.75" hidden="1" customHeight="1" x14ac:dyDescent="0.25">
      <c r="A345" s="61"/>
      <c r="B345" s="113"/>
      <c r="C345" s="97" t="e">
        <v>#N/A</v>
      </c>
      <c r="D345" s="97" t="e">
        <v>#N/A</v>
      </c>
      <c r="E345" s="65"/>
      <c r="F345" s="129"/>
      <c r="G345" s="129"/>
      <c r="H345" s="102"/>
      <c r="I345" s="102"/>
      <c r="J345" s="99"/>
      <c r="K345" s="99"/>
      <c r="L345" s="99"/>
      <c r="M345" s="99"/>
      <c r="N345" s="99"/>
      <c r="O345" s="96"/>
      <c r="P345" s="96"/>
      <c r="Q345" s="15" t="e">
        <v>#N/A</v>
      </c>
      <c r="R345" s="15" t="e">
        <v>#N/A</v>
      </c>
      <c r="S345" s="15"/>
      <c r="T345" s="100"/>
      <c r="U345" s="15"/>
      <c r="V345" s="15"/>
      <c r="W345" s="15"/>
      <c r="X345" s="96"/>
      <c r="Y345" s="69">
        <f ca="1">Table25[[#This Row],[End Date]]+2-TODAY()</f>
        <v>-45775</v>
      </c>
      <c r="Z345" s="15">
        <f>IF(ISBLANK(Table25[[#This Row],[Roster Received By]]),1,0)</f>
        <v>1</v>
      </c>
      <c r="AA345" s="15">
        <f ca="1">IF(Table25[[#This Row],[Start Date]]&gt;TODAY(),1,)</f>
        <v>0</v>
      </c>
    </row>
    <row r="346" spans="1:27" s="103" customFormat="1" ht="15.75" hidden="1" customHeight="1" x14ac:dyDescent="0.25">
      <c r="A346" s="61"/>
      <c r="B346" s="113"/>
      <c r="C346" s="97" t="e">
        <v>#N/A</v>
      </c>
      <c r="D346" s="97" t="e">
        <v>#N/A</v>
      </c>
      <c r="E346" s="65"/>
      <c r="F346" s="95"/>
      <c r="G346" s="95"/>
      <c r="H346" s="98"/>
      <c r="I346" s="98"/>
      <c r="J346" s="99"/>
      <c r="K346" s="99"/>
      <c r="L346" s="99"/>
      <c r="M346" s="99"/>
      <c r="N346" s="99"/>
      <c r="O346" s="96"/>
      <c r="P346" s="96"/>
      <c r="Q346" s="15" t="e">
        <v>#N/A</v>
      </c>
      <c r="R346" s="15" t="e">
        <v>#N/A</v>
      </c>
      <c r="S346" s="15"/>
      <c r="T346" s="100"/>
      <c r="U346" s="15"/>
      <c r="V346" s="15"/>
      <c r="W346" s="15"/>
      <c r="X346" s="96"/>
      <c r="Y346" s="69">
        <f ca="1">Table25[[#This Row],[End Date]]+2-TODAY()</f>
        <v>-45775</v>
      </c>
      <c r="Z346" s="15">
        <f>IF(ISBLANK(Table25[[#This Row],[Roster Received By]]),1,0)</f>
        <v>1</v>
      </c>
      <c r="AA346" s="15">
        <f ca="1">IF(Table25[[#This Row],[Start Date]]&gt;TODAY(),1,)</f>
        <v>0</v>
      </c>
    </row>
    <row r="347" spans="1:27" s="103" customFormat="1" ht="15.75" hidden="1" customHeight="1" x14ac:dyDescent="0.25">
      <c r="A347" s="61"/>
      <c r="B347" s="113"/>
      <c r="C347" s="97" t="e">
        <v>#N/A</v>
      </c>
      <c r="D347" s="97" t="e">
        <v>#N/A</v>
      </c>
      <c r="E347" s="113"/>
      <c r="F347" s="107"/>
      <c r="G347" s="107"/>
      <c r="H347" s="99"/>
      <c r="I347" s="98"/>
      <c r="J347" s="98"/>
      <c r="K347" s="98"/>
      <c r="L347" s="98"/>
      <c r="M347" s="98"/>
      <c r="N347" s="98"/>
      <c r="O347" s="96"/>
      <c r="P347" s="96"/>
      <c r="Q347" s="15" t="e">
        <v>#N/A</v>
      </c>
      <c r="R347" s="15" t="e">
        <v>#N/A</v>
      </c>
      <c r="S347" s="15"/>
      <c r="T347" s="100"/>
      <c r="U347" s="15"/>
      <c r="V347" s="15"/>
      <c r="W347" s="15"/>
      <c r="X347" s="96"/>
      <c r="Y347" s="69">
        <f ca="1">Table25[[#This Row],[End Date]]+2-TODAY()</f>
        <v>-45775</v>
      </c>
      <c r="Z347" s="15">
        <f>IF(ISBLANK(Table25[[#This Row],[Roster Received By]]),1,0)</f>
        <v>1</v>
      </c>
      <c r="AA347" s="15">
        <f ca="1">IF(Table25[[#This Row],[Start Date]]&gt;TODAY(),1,)</f>
        <v>0</v>
      </c>
    </row>
    <row r="348" spans="1:27" s="97" customFormat="1" hidden="1" x14ac:dyDescent="0.25">
      <c r="A348" s="61"/>
      <c r="B348" s="115"/>
      <c r="C348" s="97" t="e">
        <v>#N/A</v>
      </c>
      <c r="D348" s="97" t="e">
        <v>#N/A</v>
      </c>
      <c r="E348" s="113"/>
      <c r="F348" s="107"/>
      <c r="G348" s="107"/>
      <c r="H348" s="99"/>
      <c r="I348" s="98"/>
      <c r="J348" s="98"/>
      <c r="K348" s="98"/>
      <c r="L348" s="98"/>
      <c r="M348" s="98"/>
      <c r="N348" s="98"/>
      <c r="O348" s="96"/>
      <c r="P348" s="96"/>
      <c r="Q348" s="15" t="e">
        <v>#N/A</v>
      </c>
      <c r="R348" s="15" t="e">
        <v>#N/A</v>
      </c>
      <c r="S348" s="15"/>
      <c r="T348" s="100"/>
      <c r="U348" s="15"/>
      <c r="V348" s="15"/>
      <c r="W348" s="15"/>
      <c r="X348" s="96"/>
      <c r="Y348" s="69">
        <f ca="1">Table25[[#This Row],[End Date]]+2-TODAY()</f>
        <v>-45775</v>
      </c>
      <c r="Z348" s="15">
        <f>IF(ISBLANK(Table25[[#This Row],[Roster Received By]]),1,0)</f>
        <v>1</v>
      </c>
      <c r="AA348" s="15">
        <f ca="1">IF(Table25[[#This Row],[Start Date]]&gt;TODAY(),1,)</f>
        <v>0</v>
      </c>
    </row>
    <row r="349" spans="1:27" s="61" customFormat="1" hidden="1" x14ac:dyDescent="0.25">
      <c r="B349" s="115"/>
      <c r="C349" s="97" t="e">
        <v>#N/A</v>
      </c>
      <c r="D349" s="97" t="e">
        <v>#N/A</v>
      </c>
      <c r="E349" s="65"/>
      <c r="F349" s="95"/>
      <c r="G349" s="95"/>
      <c r="H349" s="98"/>
      <c r="I349" s="98"/>
      <c r="J349" s="99"/>
      <c r="K349" s="99"/>
      <c r="L349" s="99"/>
      <c r="M349" s="99"/>
      <c r="N349" s="99"/>
      <c r="O349" s="96"/>
      <c r="P349" s="96"/>
      <c r="Q349" s="15" t="e">
        <v>#N/A</v>
      </c>
      <c r="R349" s="15" t="e">
        <v>#N/A</v>
      </c>
      <c r="S349" s="15"/>
      <c r="T349" s="100"/>
      <c r="U349" s="15"/>
      <c r="V349" s="15"/>
      <c r="W349" s="97"/>
      <c r="X349" s="96"/>
      <c r="Y349" s="106">
        <f ca="1">Table25[[#This Row],[End Date]]+2-TODAY()</f>
        <v>-45775</v>
      </c>
      <c r="Z349" s="15">
        <f>IF(ISBLANK(Table25[[#This Row],[Roster Received By]]),1,0)</f>
        <v>1</v>
      </c>
      <c r="AA349" s="97">
        <f ca="1">IF(Table25[[#This Row],[Start Date]]&gt;TODAY(),1,)</f>
        <v>0</v>
      </c>
    </row>
    <row r="350" spans="1:27" s="61" customFormat="1" hidden="1" x14ac:dyDescent="0.25">
      <c r="B350" s="113"/>
      <c r="C350" s="97" t="e">
        <v>#N/A</v>
      </c>
      <c r="D350" s="97" t="e">
        <v>#N/A</v>
      </c>
      <c r="E350" s="125"/>
      <c r="F350" s="128"/>
      <c r="G350" s="128"/>
      <c r="H350" s="164"/>
      <c r="I350" s="98"/>
      <c r="J350" s="98"/>
      <c r="K350" s="98"/>
      <c r="L350" s="98"/>
      <c r="M350" s="98"/>
      <c r="N350" s="98"/>
      <c r="O350" s="96"/>
      <c r="P350" s="96"/>
      <c r="Q350" s="15" t="e">
        <v>#N/A</v>
      </c>
      <c r="R350" s="15" t="e">
        <v>#N/A</v>
      </c>
      <c r="S350" s="15"/>
      <c r="T350" s="100"/>
      <c r="U350" s="15"/>
      <c r="V350" s="15"/>
      <c r="W350" s="97"/>
      <c r="X350" s="96"/>
      <c r="Y350" s="106">
        <f ca="1">Table25[[#This Row],[End Date]]+2-TODAY()</f>
        <v>-45775</v>
      </c>
      <c r="Z350" s="15">
        <f>IF(ISBLANK(Table25[[#This Row],[Roster Received By]]),1,0)</f>
        <v>1</v>
      </c>
      <c r="AA350" s="97">
        <f ca="1">IF(Table25[[#This Row],[Start Date]]&gt;TODAY(),1,)</f>
        <v>0</v>
      </c>
    </row>
    <row r="351" spans="1:27" s="61" customFormat="1" hidden="1" x14ac:dyDescent="0.25">
      <c r="B351" s="113"/>
      <c r="C351" s="97" t="e">
        <v>#N/A</v>
      </c>
      <c r="D351" s="97" t="e">
        <v>#N/A</v>
      </c>
      <c r="E351" s="113"/>
      <c r="F351" s="107"/>
      <c r="G351" s="107"/>
      <c r="H351" s="99"/>
      <c r="I351" s="98"/>
      <c r="J351" s="98"/>
      <c r="K351" s="98"/>
      <c r="L351" s="98"/>
      <c r="M351" s="98"/>
      <c r="N351" s="98"/>
      <c r="O351" s="96"/>
      <c r="P351" s="96"/>
      <c r="Q351" s="15" t="e">
        <v>#N/A</v>
      </c>
      <c r="R351" s="15" t="e">
        <v>#N/A</v>
      </c>
      <c r="S351" s="15"/>
      <c r="T351" s="100"/>
      <c r="U351" s="15"/>
      <c r="V351" s="15"/>
      <c r="W351" s="97"/>
      <c r="X351" s="96"/>
      <c r="Y351" s="106">
        <f ca="1">Table25[[#This Row],[End Date]]+2-TODAY()</f>
        <v>-45775</v>
      </c>
      <c r="Z351" s="15">
        <f>IF(ISBLANK(Table25[[#This Row],[Roster Received By]]),1,0)</f>
        <v>1</v>
      </c>
      <c r="AA351" s="97">
        <f ca="1">IF(Table25[[#This Row],[Start Date]]&gt;TODAY(),1,)</f>
        <v>0</v>
      </c>
    </row>
    <row r="352" spans="1:27" s="61" customFormat="1" hidden="1" x14ac:dyDescent="0.25">
      <c r="B352" s="113"/>
      <c r="C352" s="97" t="e">
        <v>#N/A</v>
      </c>
      <c r="D352" s="97" t="e">
        <v>#N/A</v>
      </c>
      <c r="E352" s="113"/>
      <c r="F352" s="107"/>
      <c r="G352" s="107"/>
      <c r="H352" s="99"/>
      <c r="I352" s="98"/>
      <c r="J352" s="98"/>
      <c r="K352" s="98"/>
      <c r="L352" s="98"/>
      <c r="M352" s="98"/>
      <c r="N352" s="98"/>
      <c r="O352" s="96"/>
      <c r="P352" s="96"/>
      <c r="Q352" s="15" t="e">
        <v>#N/A</v>
      </c>
      <c r="R352" s="15" t="e">
        <v>#N/A</v>
      </c>
      <c r="S352" s="15"/>
      <c r="T352" s="100"/>
      <c r="U352" s="15"/>
      <c r="V352" s="15"/>
      <c r="W352" s="97"/>
      <c r="X352" s="96"/>
      <c r="Y352" s="106">
        <f ca="1">Table25[[#This Row],[End Date]]+2-TODAY()</f>
        <v>-45775</v>
      </c>
      <c r="Z352" s="15">
        <f>IF(ISBLANK(Table25[[#This Row],[Roster Received By]]),1,0)</f>
        <v>1</v>
      </c>
      <c r="AA352" s="97">
        <f ca="1">IF(Table25[[#This Row],[Start Date]]&gt;TODAY(),1,)</f>
        <v>0</v>
      </c>
    </row>
    <row r="353" spans="1:27" s="61" customFormat="1" hidden="1" x14ac:dyDescent="0.25">
      <c r="B353" s="113"/>
      <c r="C353" s="97" t="e">
        <v>#N/A</v>
      </c>
      <c r="D353" s="97" t="e">
        <v>#N/A</v>
      </c>
      <c r="E353" s="113"/>
      <c r="F353" s="107"/>
      <c r="G353" s="107"/>
      <c r="H353" s="102"/>
      <c r="I353" s="102"/>
      <c r="J353" s="102"/>
      <c r="K353" s="102"/>
      <c r="L353" s="102"/>
      <c r="M353" s="102"/>
      <c r="N353" s="99"/>
      <c r="O353" s="96"/>
      <c r="P353" s="96"/>
      <c r="Q353" s="15" t="e">
        <v>#N/A</v>
      </c>
      <c r="R353" s="15" t="e">
        <v>#N/A</v>
      </c>
      <c r="S353" s="15"/>
      <c r="T353" s="100"/>
      <c r="U353" s="15"/>
      <c r="V353" s="15"/>
      <c r="W353" s="97"/>
      <c r="X353" s="96"/>
      <c r="Y353" s="106">
        <f ca="1">Table25[[#This Row],[End Date]]+2-TODAY()</f>
        <v>-45775</v>
      </c>
      <c r="Z353" s="15">
        <f>IF(ISBLANK(Table25[[#This Row],[Roster Received By]]),1,0)</f>
        <v>1</v>
      </c>
      <c r="AA353" s="97">
        <f ca="1">IF(Table25[[#This Row],[Start Date]]&gt;TODAY(),1,)</f>
        <v>0</v>
      </c>
    </row>
    <row r="354" spans="1:27" s="61" customFormat="1" hidden="1" x14ac:dyDescent="0.25">
      <c r="A354" s="96"/>
      <c r="B354" s="115"/>
      <c r="C354" s="97" t="e">
        <v>#N/A</v>
      </c>
      <c r="D354" s="97" t="e">
        <v>#N/A</v>
      </c>
      <c r="E354" s="113"/>
      <c r="F354" s="107"/>
      <c r="G354" s="107"/>
      <c r="H354" s="102"/>
      <c r="I354" s="102"/>
      <c r="J354" s="99"/>
      <c r="K354" s="99"/>
      <c r="L354" s="99"/>
      <c r="M354" s="99"/>
      <c r="N354" s="99"/>
      <c r="O354" s="96"/>
      <c r="P354" s="96"/>
      <c r="Q354" s="15" t="e">
        <v>#N/A</v>
      </c>
      <c r="R354" s="15" t="e">
        <v>#N/A</v>
      </c>
      <c r="S354" s="15"/>
      <c r="T354" s="100"/>
      <c r="U354" s="15"/>
      <c r="V354" s="15"/>
      <c r="W354" s="97"/>
      <c r="X354" s="96"/>
      <c r="Y354" s="106">
        <f ca="1">Table25[[#This Row],[End Date]]+2-TODAY()</f>
        <v>-45775</v>
      </c>
      <c r="Z354" s="15">
        <f>IF(ISBLANK(Table25[[#This Row],[Roster Received By]]),1,0)</f>
        <v>1</v>
      </c>
      <c r="AA354" s="97">
        <f ca="1">IF(Table25[[#This Row],[Start Date]]&gt;TODAY(),1,)</f>
        <v>0</v>
      </c>
    </row>
    <row r="355" spans="1:27" s="61" customFormat="1" hidden="1" x14ac:dyDescent="0.25">
      <c r="B355" s="113"/>
      <c r="C355" s="97" t="e">
        <v>#N/A</v>
      </c>
      <c r="D355" s="97" t="e">
        <v>#N/A</v>
      </c>
      <c r="E355" s="113"/>
      <c r="F355" s="107"/>
      <c r="G355" s="107"/>
      <c r="H355" s="102"/>
      <c r="I355" s="102"/>
      <c r="J355" s="99"/>
      <c r="K355" s="99"/>
      <c r="L355" s="99"/>
      <c r="M355" s="99"/>
      <c r="N355" s="99"/>
      <c r="O355" s="96"/>
      <c r="P355" s="96"/>
      <c r="Q355" s="15" t="e">
        <v>#N/A</v>
      </c>
      <c r="R355" s="15" t="e">
        <v>#N/A</v>
      </c>
      <c r="S355" s="100"/>
      <c r="T355" s="100"/>
      <c r="U355" s="15"/>
      <c r="V355" s="15"/>
      <c r="W355" s="97"/>
      <c r="X355" s="96"/>
      <c r="Y355" s="106">
        <f ca="1">Table25[[#This Row],[End Date]]+2-TODAY()</f>
        <v>-45775</v>
      </c>
      <c r="Z355" s="15">
        <f>IF(ISBLANK(Table25[[#This Row],[Roster Received By]]),1,0)</f>
        <v>1</v>
      </c>
      <c r="AA355" s="97">
        <f ca="1">IF(Table25[[#This Row],[Start Date]]&gt;TODAY(),1,)</f>
        <v>0</v>
      </c>
    </row>
    <row r="356" spans="1:27" s="61" customFormat="1" hidden="1" x14ac:dyDescent="0.25">
      <c r="B356" s="113"/>
      <c r="C356" s="97" t="e">
        <v>#N/A</v>
      </c>
      <c r="D356" s="97" t="e">
        <v>#N/A</v>
      </c>
      <c r="E356" s="65"/>
      <c r="F356" s="107"/>
      <c r="G356" s="107"/>
      <c r="H356" s="102"/>
      <c r="I356" s="102"/>
      <c r="J356" s="99"/>
      <c r="K356" s="99"/>
      <c r="L356" s="99"/>
      <c r="M356" s="99"/>
      <c r="N356" s="99"/>
      <c r="O356" s="96"/>
      <c r="P356" s="96"/>
      <c r="Q356" s="15" t="e">
        <v>#N/A</v>
      </c>
      <c r="R356" s="15" t="e">
        <v>#N/A</v>
      </c>
      <c r="S356" s="15"/>
      <c r="T356" s="100"/>
      <c r="U356" s="15"/>
      <c r="V356" s="15"/>
      <c r="W356" s="97"/>
      <c r="X356" s="96"/>
      <c r="Y356" s="106">
        <f ca="1">Table25[[#This Row],[End Date]]+2-TODAY()</f>
        <v>-45775</v>
      </c>
      <c r="Z356" s="15">
        <f>IF(ISBLANK(Table25[[#This Row],[Roster Received By]]),1,0)</f>
        <v>1</v>
      </c>
      <c r="AA356" s="97">
        <f ca="1">IF(Table25[[#This Row],[Start Date]]&gt;TODAY(),1,)</f>
        <v>0</v>
      </c>
    </row>
    <row r="357" spans="1:27" s="61" customFormat="1" hidden="1" x14ac:dyDescent="0.25">
      <c r="A357" s="96"/>
      <c r="B357" s="115"/>
      <c r="C357" s="97" t="e">
        <v>#N/A</v>
      </c>
      <c r="D357" s="97" t="e">
        <v>#N/A</v>
      </c>
      <c r="E357" s="113"/>
      <c r="F357" s="99"/>
      <c r="G357" s="99"/>
      <c r="H357" s="102"/>
      <c r="I357" s="102"/>
      <c r="J357" s="99"/>
      <c r="K357" s="99"/>
      <c r="L357" s="99"/>
      <c r="M357" s="99"/>
      <c r="N357" s="99"/>
      <c r="O357" s="96"/>
      <c r="P357" s="96"/>
      <c r="Q357" s="15" t="e">
        <v>#N/A</v>
      </c>
      <c r="R357" s="15" t="e">
        <v>#N/A</v>
      </c>
      <c r="S357" s="15"/>
      <c r="T357" s="100"/>
      <c r="U357" s="15"/>
      <c r="V357" s="15"/>
      <c r="W357" s="97"/>
      <c r="X357" s="96"/>
      <c r="Y357" s="106">
        <f ca="1">Table25[[#This Row],[End Date]]+2-TODAY()</f>
        <v>-45775</v>
      </c>
      <c r="Z357" s="15">
        <f>IF(ISBLANK(Table25[[#This Row],[Roster Received By]]),1,0)</f>
        <v>1</v>
      </c>
      <c r="AA357" s="97">
        <f ca="1">IF(Table25[[#This Row],[Start Date]]&gt;TODAY(),1,)</f>
        <v>0</v>
      </c>
    </row>
    <row r="358" spans="1:27" s="61" customFormat="1" hidden="1" x14ac:dyDescent="0.25">
      <c r="B358" s="124"/>
      <c r="C358" s="97" t="e">
        <v>#N/A</v>
      </c>
      <c r="D358" s="97" t="e">
        <v>#N/A</v>
      </c>
      <c r="E358" s="113"/>
      <c r="F358" s="99"/>
      <c r="G358" s="99"/>
      <c r="H358" s="99"/>
      <c r="I358" s="98"/>
      <c r="J358" s="98"/>
      <c r="K358" s="98"/>
      <c r="L358" s="98"/>
      <c r="M358" s="98"/>
      <c r="N358" s="98"/>
      <c r="O358" s="96"/>
      <c r="P358" s="96"/>
      <c r="Q358" s="15" t="e">
        <v>#N/A</v>
      </c>
      <c r="R358" s="15" t="e">
        <v>#N/A</v>
      </c>
      <c r="S358" s="15"/>
      <c r="T358" s="100"/>
      <c r="U358" s="15"/>
      <c r="V358" s="15"/>
      <c r="W358" s="97"/>
      <c r="X358" s="96"/>
      <c r="Y358" s="106">
        <f ca="1">Table25[[#This Row],[End Date]]+2-TODAY()</f>
        <v>-45775</v>
      </c>
      <c r="Z358" s="15">
        <f>IF(ISBLANK(Table25[[#This Row],[Roster Received By]]),1,0)</f>
        <v>1</v>
      </c>
      <c r="AA358" s="97">
        <f ca="1">IF(Table25[[#This Row],[Start Date]]&gt;TODAY(),1,)</f>
        <v>0</v>
      </c>
    </row>
    <row r="359" spans="1:27" s="61" customFormat="1" hidden="1" x14ac:dyDescent="0.25">
      <c r="B359" s="115"/>
      <c r="C359" s="97" t="e">
        <v>#N/A</v>
      </c>
      <c r="D359" s="97" t="e">
        <v>#N/A</v>
      </c>
      <c r="E359" s="113"/>
      <c r="F359" s="99"/>
      <c r="G359" s="99"/>
      <c r="H359" s="102"/>
      <c r="I359" s="102"/>
      <c r="J359" s="99"/>
      <c r="K359" s="99"/>
      <c r="L359" s="99"/>
      <c r="M359" s="99"/>
      <c r="N359" s="99"/>
      <c r="O359" s="96"/>
      <c r="P359" s="96"/>
      <c r="Q359" s="15" t="e">
        <v>#N/A</v>
      </c>
      <c r="R359" s="15" t="e">
        <v>#N/A</v>
      </c>
      <c r="S359" s="15"/>
      <c r="T359" s="100"/>
      <c r="U359" s="15"/>
      <c r="V359" s="15"/>
      <c r="W359" s="97"/>
      <c r="X359" s="96"/>
      <c r="Y359" s="106">
        <f ca="1">Table25[[#This Row],[End Date]]+2-TODAY()</f>
        <v>-45775</v>
      </c>
      <c r="Z359" s="15">
        <f>IF(ISBLANK(Table25[[#This Row],[Roster Received By]]),1,0)</f>
        <v>1</v>
      </c>
      <c r="AA359" s="97">
        <f ca="1">IF(Table25[[#This Row],[Start Date]]&gt;TODAY(),1,)</f>
        <v>0</v>
      </c>
    </row>
    <row r="360" spans="1:27" s="61" customFormat="1" hidden="1" x14ac:dyDescent="0.25">
      <c r="B360" s="113"/>
      <c r="C360" s="97" t="e">
        <v>#N/A</v>
      </c>
      <c r="D360" s="97" t="e">
        <v>#N/A</v>
      </c>
      <c r="E360" s="96"/>
      <c r="F360" s="99"/>
      <c r="G360" s="99"/>
      <c r="H360" s="102"/>
      <c r="I360" s="109"/>
      <c r="J360" s="109"/>
      <c r="K360" s="109"/>
      <c r="L360" s="109"/>
      <c r="M360" s="109"/>
      <c r="N360" s="109"/>
      <c r="O360" s="96"/>
      <c r="P360" s="96"/>
      <c r="Q360" s="15" t="e">
        <v>#N/A</v>
      </c>
      <c r="R360" s="15" t="e">
        <v>#N/A</v>
      </c>
      <c r="S360" s="100"/>
      <c r="T360" s="110"/>
      <c r="U360" s="110"/>
      <c r="V360" s="110"/>
      <c r="W360" s="110"/>
      <c r="X360" s="96"/>
      <c r="Y360" s="110"/>
    </row>
    <row r="361" spans="1:27" s="61" customFormat="1" hidden="1" x14ac:dyDescent="0.25">
      <c r="A361" s="64"/>
      <c r="B361" s="113"/>
      <c r="C361" s="97" t="e">
        <v>#N/A</v>
      </c>
      <c r="D361" s="97" t="e">
        <v>#N/A</v>
      </c>
      <c r="E361" s="113"/>
      <c r="F361" s="99"/>
      <c r="G361" s="99"/>
      <c r="H361" s="99"/>
      <c r="I361" s="98"/>
      <c r="J361" s="98"/>
      <c r="K361" s="98"/>
      <c r="L361" s="98"/>
      <c r="M361" s="98"/>
      <c r="N361" s="98"/>
      <c r="O361" s="96"/>
      <c r="P361" s="96"/>
      <c r="Q361" s="15" t="e">
        <v>#N/A</v>
      </c>
      <c r="R361" s="15" t="e">
        <v>#N/A</v>
      </c>
      <c r="S361" s="15"/>
      <c r="T361" s="100"/>
      <c r="U361" s="15"/>
      <c r="V361" s="15"/>
      <c r="W361" s="97"/>
      <c r="X361" s="96"/>
      <c r="Y361" s="106">
        <f ca="1">Table25[[#This Row],[End Date]]+2-TODAY()</f>
        <v>-45775</v>
      </c>
      <c r="Z361" s="15">
        <f>IF(ISBLANK(Table25[[#This Row],[Roster Received By]]),1,0)</f>
        <v>1</v>
      </c>
      <c r="AA361" s="97">
        <f ca="1">IF(Table25[[#This Row],[Start Date]]&gt;TODAY(),1,)</f>
        <v>0</v>
      </c>
    </row>
    <row r="362" spans="1:27" s="61" customFormat="1" hidden="1" x14ac:dyDescent="0.25">
      <c r="B362" s="113"/>
      <c r="C362" s="97" t="e">
        <v>#N/A</v>
      </c>
      <c r="D362" s="97" t="e">
        <v>#N/A</v>
      </c>
      <c r="E362" s="113"/>
      <c r="F362" s="99"/>
      <c r="G362" s="99"/>
      <c r="H362" s="102"/>
      <c r="I362" s="102"/>
      <c r="J362" s="99"/>
      <c r="K362" s="99"/>
      <c r="L362" s="99"/>
      <c r="M362" s="99"/>
      <c r="N362" s="99"/>
      <c r="O362" s="96"/>
      <c r="P362" s="96"/>
      <c r="Q362" s="15" t="e">
        <v>#N/A</v>
      </c>
      <c r="R362" s="15" t="e">
        <v>#N/A</v>
      </c>
      <c r="S362" s="15"/>
      <c r="T362" s="100"/>
      <c r="U362" s="15"/>
      <c r="V362" s="15"/>
      <c r="W362" s="97"/>
      <c r="X362" s="96"/>
      <c r="Y362" s="106">
        <f ca="1">Table25[[#This Row],[End Date]]+2-TODAY()</f>
        <v>-45775</v>
      </c>
      <c r="Z362" s="15">
        <f>IF(ISBLANK(Table25[[#This Row],[Roster Received By]]),1,0)</f>
        <v>1</v>
      </c>
      <c r="AA362" s="97">
        <f ca="1">IF(Table25[[#This Row],[Start Date]]&gt;TODAY(),1,)</f>
        <v>0</v>
      </c>
    </row>
    <row r="363" spans="1:27" s="61" customFormat="1" hidden="1" x14ac:dyDescent="0.25">
      <c r="A363" s="96"/>
      <c r="B363" s="115"/>
      <c r="C363" s="97" t="e">
        <v>#N/A</v>
      </c>
      <c r="D363" s="97" t="e">
        <v>#N/A</v>
      </c>
      <c r="E363" s="113"/>
      <c r="F363" s="99"/>
      <c r="G363" s="99"/>
      <c r="H363" s="102"/>
      <c r="I363" s="102"/>
      <c r="J363" s="99"/>
      <c r="K363" s="99"/>
      <c r="L363" s="99"/>
      <c r="M363" s="99"/>
      <c r="N363" s="99"/>
      <c r="O363" s="96"/>
      <c r="P363" s="96"/>
      <c r="Q363" s="15" t="e">
        <v>#N/A</v>
      </c>
      <c r="R363" s="15" t="e">
        <v>#N/A</v>
      </c>
      <c r="S363" s="15"/>
      <c r="T363" s="100"/>
      <c r="U363" s="15"/>
      <c r="V363" s="15"/>
      <c r="W363" s="97"/>
      <c r="X363" s="96"/>
      <c r="Y363" s="106">
        <f ca="1">Table25[[#This Row],[End Date]]+2-TODAY()</f>
        <v>-45775</v>
      </c>
      <c r="Z363" s="15">
        <f>IF(ISBLANK(Table25[[#This Row],[Roster Received By]]),1,0)</f>
        <v>1</v>
      </c>
      <c r="AA363" s="97">
        <f ca="1">IF(Table25[[#This Row],[Start Date]]&gt;TODAY(),1,)</f>
        <v>0</v>
      </c>
    </row>
    <row r="364" spans="1:27" s="61" customFormat="1" hidden="1" x14ac:dyDescent="0.25">
      <c r="B364" s="113"/>
      <c r="C364" s="97" t="e">
        <v>#N/A</v>
      </c>
      <c r="D364" s="97" t="e">
        <v>#N/A</v>
      </c>
      <c r="E364" s="113"/>
      <c r="F364" s="99"/>
      <c r="G364" s="99"/>
      <c r="H364" s="99"/>
      <c r="I364" s="98"/>
      <c r="J364" s="98"/>
      <c r="K364" s="98"/>
      <c r="L364" s="98"/>
      <c r="M364" s="98"/>
      <c r="N364" s="98"/>
      <c r="O364" s="96"/>
      <c r="P364" s="96"/>
      <c r="Q364" s="15" t="e">
        <v>#N/A</v>
      </c>
      <c r="R364" s="15" t="e">
        <v>#N/A</v>
      </c>
      <c r="S364" s="15"/>
      <c r="T364" s="100"/>
      <c r="U364" s="15"/>
      <c r="V364" s="15"/>
      <c r="W364" s="97"/>
      <c r="X364" s="96"/>
      <c r="Y364" s="106">
        <f ca="1">Table25[[#This Row],[End Date]]+2-TODAY()</f>
        <v>-45775</v>
      </c>
      <c r="Z364" s="15">
        <f>IF(ISBLANK(Table25[[#This Row],[Roster Received By]]),1,0)</f>
        <v>1</v>
      </c>
      <c r="AA364" s="97">
        <f ca="1">IF(Table25[[#This Row],[Start Date]]&gt;TODAY(),1,)</f>
        <v>0</v>
      </c>
    </row>
    <row r="365" spans="1:27" s="61" customFormat="1" hidden="1" x14ac:dyDescent="0.25">
      <c r="B365" s="113"/>
      <c r="C365" s="97" t="e">
        <v>#N/A</v>
      </c>
      <c r="D365" s="97" t="e">
        <v>#N/A</v>
      </c>
      <c r="E365" s="113"/>
      <c r="F365" s="99"/>
      <c r="G365" s="99"/>
      <c r="H365" s="99"/>
      <c r="I365" s="98"/>
      <c r="J365" s="98"/>
      <c r="K365" s="98"/>
      <c r="L365" s="98"/>
      <c r="M365" s="98"/>
      <c r="N365" s="98"/>
      <c r="O365" s="96"/>
      <c r="P365" s="96"/>
      <c r="Q365" s="15" t="e">
        <v>#N/A</v>
      </c>
      <c r="R365" s="15" t="e">
        <v>#N/A</v>
      </c>
      <c r="S365" s="15"/>
      <c r="T365" s="100"/>
      <c r="U365" s="15"/>
      <c r="V365" s="15"/>
      <c r="W365" s="97"/>
      <c r="X365" s="96"/>
      <c r="Y365" s="106">
        <f ca="1">Table25[[#This Row],[End Date]]+2-TODAY()</f>
        <v>-45775</v>
      </c>
      <c r="Z365" s="15">
        <f>IF(ISBLANK(Table25[[#This Row],[Roster Received By]]),1,0)</f>
        <v>1</v>
      </c>
      <c r="AA365" s="97">
        <f ca="1">IF(Table25[[#This Row],[Start Date]]&gt;TODAY(),1,)</f>
        <v>0</v>
      </c>
    </row>
    <row r="366" spans="1:27" s="61" customFormat="1" hidden="1" x14ac:dyDescent="0.25">
      <c r="B366" s="113"/>
      <c r="C366" s="97" t="e">
        <v>#N/A</v>
      </c>
      <c r="D366" s="97" t="e">
        <v>#N/A</v>
      </c>
      <c r="E366" s="113"/>
      <c r="F366" s="99"/>
      <c r="G366" s="99"/>
      <c r="H366" s="99"/>
      <c r="I366" s="98"/>
      <c r="J366" s="98"/>
      <c r="K366" s="98"/>
      <c r="L366" s="98"/>
      <c r="M366" s="98"/>
      <c r="N366" s="98"/>
      <c r="O366" s="96"/>
      <c r="P366" s="96"/>
      <c r="Q366" s="15" t="e">
        <v>#N/A</v>
      </c>
      <c r="R366" s="15" t="e">
        <v>#N/A</v>
      </c>
      <c r="S366" s="15"/>
      <c r="T366" s="100"/>
      <c r="U366" s="15"/>
      <c r="V366" s="15"/>
      <c r="W366" s="97"/>
      <c r="X366" s="96"/>
      <c r="Y366" s="106">
        <f ca="1">Table25[[#This Row],[End Date]]+2-TODAY()</f>
        <v>-45775</v>
      </c>
      <c r="Z366" s="15">
        <f>IF(ISBLANK(Table25[[#This Row],[Roster Received By]]),1,0)</f>
        <v>1</v>
      </c>
      <c r="AA366" s="97">
        <f ca="1">IF(Table25[[#This Row],[Start Date]]&gt;TODAY(),1,)</f>
        <v>0</v>
      </c>
    </row>
    <row r="367" spans="1:27" s="61" customFormat="1" hidden="1" x14ac:dyDescent="0.25">
      <c r="B367" s="113"/>
      <c r="C367" s="97" t="e">
        <v>#N/A</v>
      </c>
      <c r="D367" s="97" t="e">
        <v>#N/A</v>
      </c>
      <c r="E367" s="96"/>
      <c r="F367" s="99"/>
      <c r="G367" s="99"/>
      <c r="H367" s="99"/>
      <c r="I367" s="98"/>
      <c r="J367" s="98"/>
      <c r="K367" s="98"/>
      <c r="L367" s="98"/>
      <c r="M367" s="98"/>
      <c r="N367" s="98"/>
      <c r="O367" s="96"/>
      <c r="P367" s="96"/>
      <c r="Q367" s="15" t="e">
        <v>#N/A</v>
      </c>
      <c r="R367" s="15" t="e">
        <v>#N/A</v>
      </c>
      <c r="S367" s="15"/>
      <c r="T367" s="100"/>
      <c r="U367" s="15"/>
      <c r="V367" s="15"/>
      <c r="W367" s="97"/>
      <c r="X367" s="96"/>
      <c r="Y367" s="106">
        <f ca="1">Table25[[#This Row],[End Date]]+2-TODAY()</f>
        <v>-45775</v>
      </c>
      <c r="Z367" s="15">
        <f>IF(ISBLANK(Table25[[#This Row],[Roster Received By]]),1,0)</f>
        <v>1</v>
      </c>
      <c r="AA367" s="97">
        <f ca="1">IF(Table25[[#This Row],[Start Date]]&gt;TODAY(),1,)</f>
        <v>0</v>
      </c>
    </row>
    <row r="368" spans="1:27" s="61" customFormat="1" hidden="1" x14ac:dyDescent="0.25">
      <c r="B368" s="113"/>
      <c r="C368" s="97" t="e">
        <v>#N/A</v>
      </c>
      <c r="D368" s="97" t="e">
        <v>#N/A</v>
      </c>
      <c r="E368" s="113"/>
      <c r="F368" s="99"/>
      <c r="G368" s="99"/>
      <c r="H368" s="102"/>
      <c r="I368" s="102"/>
      <c r="J368" s="99"/>
      <c r="K368" s="99"/>
      <c r="L368" s="99"/>
      <c r="M368" s="99"/>
      <c r="N368" s="99"/>
      <c r="O368" s="96"/>
      <c r="P368" s="96"/>
      <c r="Q368" s="15" t="e">
        <v>#N/A</v>
      </c>
      <c r="R368" s="15" t="e">
        <v>#N/A</v>
      </c>
      <c r="S368" s="15"/>
      <c r="T368" s="100"/>
      <c r="U368" s="15"/>
      <c r="V368" s="15"/>
      <c r="W368" s="97"/>
      <c r="X368" s="96"/>
      <c r="Y368" s="106">
        <f ca="1">Table25[[#This Row],[End Date]]+2-TODAY()</f>
        <v>-45775</v>
      </c>
      <c r="Z368" s="15">
        <f>IF(ISBLANK(Table25[[#This Row],[Roster Received By]]),1,0)</f>
        <v>1</v>
      </c>
      <c r="AA368" s="97">
        <f ca="1">IF(Table25[[#This Row],[Start Date]]&gt;TODAY(),1,)</f>
        <v>0</v>
      </c>
    </row>
    <row r="369" spans="1:27" s="61" customFormat="1" hidden="1" x14ac:dyDescent="0.25">
      <c r="B369" s="113"/>
      <c r="C369" s="97" t="e">
        <v>#N/A</v>
      </c>
      <c r="D369" s="97" t="e">
        <v>#N/A</v>
      </c>
      <c r="E369" s="113"/>
      <c r="F369" s="99"/>
      <c r="G369" s="99"/>
      <c r="H369" s="102"/>
      <c r="I369" s="102"/>
      <c r="J369" s="99"/>
      <c r="K369" s="99"/>
      <c r="L369" s="99"/>
      <c r="M369" s="99"/>
      <c r="N369" s="99"/>
      <c r="O369" s="96"/>
      <c r="P369" s="96"/>
      <c r="Q369" s="15" t="e">
        <v>#N/A</v>
      </c>
      <c r="R369" s="15" t="e">
        <v>#N/A</v>
      </c>
      <c r="S369" s="15"/>
      <c r="T369" s="100"/>
      <c r="U369" s="15"/>
      <c r="V369" s="15"/>
      <c r="W369" s="97"/>
      <c r="X369" s="96"/>
      <c r="Y369" s="106">
        <f ca="1">Table25[[#This Row],[End Date]]+2-TODAY()</f>
        <v>-45775</v>
      </c>
      <c r="Z369" s="15">
        <f>IF(ISBLANK(Table25[[#This Row],[Roster Received By]]),1,0)</f>
        <v>1</v>
      </c>
      <c r="AA369" s="97">
        <f ca="1">IF(Table25[[#This Row],[Start Date]]&gt;TODAY(),1,)</f>
        <v>0</v>
      </c>
    </row>
    <row r="370" spans="1:27" s="61" customFormat="1" hidden="1" x14ac:dyDescent="0.25">
      <c r="B370" s="113"/>
      <c r="C370" s="97" t="e">
        <v>#N/A</v>
      </c>
      <c r="D370" s="97" t="e">
        <v>#N/A</v>
      </c>
      <c r="E370" s="113"/>
      <c r="F370" s="99"/>
      <c r="G370" s="99"/>
      <c r="H370" s="102"/>
      <c r="I370" s="102"/>
      <c r="J370" s="99"/>
      <c r="K370" s="99"/>
      <c r="L370" s="99"/>
      <c r="M370" s="99"/>
      <c r="N370" s="99"/>
      <c r="O370" s="96"/>
      <c r="P370" s="96"/>
      <c r="Q370" s="15" t="e">
        <v>#N/A</v>
      </c>
      <c r="R370" s="15" t="e">
        <v>#N/A</v>
      </c>
      <c r="S370" s="15"/>
      <c r="T370" s="100"/>
      <c r="U370" s="15"/>
      <c r="V370" s="15"/>
      <c r="W370" s="97"/>
      <c r="X370" s="96"/>
      <c r="Y370" s="106">
        <f ca="1">Table25[[#This Row],[End Date]]+2-TODAY()</f>
        <v>-45775</v>
      </c>
      <c r="Z370" s="15">
        <f>IF(ISBLANK(Table25[[#This Row],[Roster Received By]]),1,0)</f>
        <v>1</v>
      </c>
      <c r="AA370" s="97">
        <f ca="1">IF(Table25[[#This Row],[Start Date]]&gt;TODAY(),1,)</f>
        <v>0</v>
      </c>
    </row>
    <row r="371" spans="1:27" s="61" customFormat="1" hidden="1" x14ac:dyDescent="0.25">
      <c r="B371" s="113"/>
      <c r="C371" s="97" t="e">
        <v>#N/A</v>
      </c>
      <c r="D371" s="97" t="e">
        <v>#N/A</v>
      </c>
      <c r="E371" s="113"/>
      <c r="F371" s="99"/>
      <c r="G371" s="99"/>
      <c r="H371" s="102"/>
      <c r="I371" s="102"/>
      <c r="J371" s="99"/>
      <c r="K371" s="99"/>
      <c r="L371" s="99"/>
      <c r="M371" s="99"/>
      <c r="N371" s="99"/>
      <c r="O371" s="96"/>
      <c r="P371" s="96"/>
      <c r="Q371" s="15" t="e">
        <v>#N/A</v>
      </c>
      <c r="R371" s="15" t="e">
        <v>#N/A</v>
      </c>
      <c r="S371" s="15"/>
      <c r="T371" s="100"/>
      <c r="U371" s="15"/>
      <c r="V371" s="15"/>
      <c r="W371" s="97"/>
      <c r="X371" s="96"/>
      <c r="Y371" s="106">
        <f ca="1">Table25[[#This Row],[End Date]]+2-TODAY()</f>
        <v>-45775</v>
      </c>
      <c r="Z371" s="15">
        <f>IF(ISBLANK(Table25[[#This Row],[Roster Received By]]),1,0)</f>
        <v>1</v>
      </c>
      <c r="AA371" s="97">
        <f ca="1">IF(Table25[[#This Row],[Start Date]]&gt;TODAY(),1,)</f>
        <v>0</v>
      </c>
    </row>
    <row r="372" spans="1:27" s="61" customFormat="1" hidden="1" x14ac:dyDescent="0.25">
      <c r="B372" s="113"/>
      <c r="C372" s="97" t="e">
        <v>#N/A</v>
      </c>
      <c r="D372" s="97" t="e">
        <v>#N/A</v>
      </c>
      <c r="E372" s="65"/>
      <c r="F372" s="95"/>
      <c r="G372" s="95"/>
      <c r="H372" s="66"/>
      <c r="I372" s="98"/>
      <c r="J372" s="98"/>
      <c r="K372" s="98"/>
      <c r="L372" s="98"/>
      <c r="M372" s="98"/>
      <c r="N372" s="98"/>
      <c r="O372" s="96"/>
      <c r="P372" s="96"/>
      <c r="Q372" s="15" t="e">
        <v>#N/A</v>
      </c>
      <c r="R372" s="15" t="e">
        <v>#N/A</v>
      </c>
      <c r="S372" s="15"/>
      <c r="T372" s="100"/>
      <c r="U372" s="15"/>
      <c r="V372" s="15"/>
      <c r="W372" s="97"/>
      <c r="X372" s="96"/>
      <c r="Y372" s="106">
        <f ca="1">Table25[[#This Row],[End Date]]+2-TODAY()</f>
        <v>-45775</v>
      </c>
      <c r="Z372" s="15">
        <f>IF(ISBLANK(Table25[[#This Row],[Roster Received By]]),1,0)</f>
        <v>1</v>
      </c>
      <c r="AA372" s="97">
        <f ca="1">IF(Table25[[#This Row],[Start Date]]&gt;TODAY(),1,)</f>
        <v>0</v>
      </c>
    </row>
    <row r="373" spans="1:27" s="61" customFormat="1" hidden="1" x14ac:dyDescent="0.25">
      <c r="B373" s="113"/>
      <c r="C373" s="97" t="e">
        <v>#N/A</v>
      </c>
      <c r="D373" s="97" t="e">
        <v>#N/A</v>
      </c>
      <c r="E373" s="113"/>
      <c r="F373" s="107"/>
      <c r="G373" s="107"/>
      <c r="H373" s="102"/>
      <c r="I373" s="102"/>
      <c r="J373" s="99"/>
      <c r="K373" s="99"/>
      <c r="L373" s="99"/>
      <c r="M373" s="99"/>
      <c r="N373" s="99"/>
      <c r="O373" s="96"/>
      <c r="P373" s="96"/>
      <c r="Q373" s="15" t="e">
        <v>#N/A</v>
      </c>
      <c r="R373" s="15" t="e">
        <v>#N/A</v>
      </c>
      <c r="S373" s="15"/>
      <c r="T373" s="100"/>
      <c r="U373" s="15"/>
      <c r="V373" s="15"/>
      <c r="W373" s="97"/>
      <c r="X373" s="96"/>
      <c r="Y373" s="106">
        <f ca="1">Table25[[#This Row],[End Date]]+2-TODAY()</f>
        <v>-45775</v>
      </c>
      <c r="Z373" s="15">
        <f>IF(ISBLANK(Table25[[#This Row],[Roster Received By]]),1,0)</f>
        <v>1</v>
      </c>
      <c r="AA373" s="97">
        <f ca="1">IF(Table25[[#This Row],[Start Date]]&gt;TODAY(),1,)</f>
        <v>0</v>
      </c>
    </row>
    <row r="374" spans="1:27" s="61" customFormat="1" hidden="1" x14ac:dyDescent="0.25">
      <c r="A374" s="96"/>
      <c r="B374" s="113"/>
      <c r="C374" s="97" t="e">
        <v>#N/A</v>
      </c>
      <c r="D374" s="97" t="e">
        <v>#N/A</v>
      </c>
      <c r="E374" s="113"/>
      <c r="F374" s="107"/>
      <c r="G374" s="107"/>
      <c r="H374" s="102"/>
      <c r="I374" s="102"/>
      <c r="J374" s="99"/>
      <c r="K374" s="99"/>
      <c r="L374" s="99"/>
      <c r="M374" s="99"/>
      <c r="N374" s="99"/>
      <c r="O374" s="96"/>
      <c r="P374" s="96"/>
      <c r="Q374" s="15" t="e">
        <v>#N/A</v>
      </c>
      <c r="R374" s="15" t="e">
        <v>#N/A</v>
      </c>
      <c r="S374" s="15"/>
      <c r="T374" s="100"/>
      <c r="U374" s="15"/>
      <c r="V374" s="15"/>
      <c r="W374" s="97"/>
      <c r="X374" s="96"/>
      <c r="Y374" s="106">
        <f ca="1">Table25[[#This Row],[End Date]]+2-TODAY()</f>
        <v>-45775</v>
      </c>
      <c r="Z374" s="15">
        <f>IF(ISBLANK(Table25[[#This Row],[Roster Received By]]),1,0)</f>
        <v>1</v>
      </c>
      <c r="AA374" s="97">
        <f ca="1">IF(Table25[[#This Row],[Start Date]]&gt;TODAY(),1,)</f>
        <v>0</v>
      </c>
    </row>
    <row r="375" spans="1:27" s="61" customFormat="1" hidden="1" x14ac:dyDescent="0.25">
      <c r="B375" s="113"/>
      <c r="C375" s="97" t="e">
        <v>#N/A</v>
      </c>
      <c r="D375" s="97" t="e">
        <v>#N/A</v>
      </c>
      <c r="E375" s="65"/>
      <c r="F375" s="107"/>
      <c r="G375" s="107"/>
      <c r="H375" s="102"/>
      <c r="I375" s="102"/>
      <c r="J375" s="99"/>
      <c r="K375" s="99"/>
      <c r="L375" s="99"/>
      <c r="M375" s="99"/>
      <c r="N375" s="99"/>
      <c r="O375" s="96"/>
      <c r="P375" s="96"/>
      <c r="Q375" s="15" t="e">
        <v>#N/A</v>
      </c>
      <c r="R375" s="15" t="e">
        <v>#N/A</v>
      </c>
      <c r="S375" s="15"/>
      <c r="T375" s="100"/>
      <c r="U375" s="15"/>
      <c r="V375" s="15"/>
      <c r="W375" s="97"/>
      <c r="X375" s="96"/>
      <c r="Y375" s="106">
        <f ca="1">Table25[[#This Row],[End Date]]+2-TODAY()</f>
        <v>-45775</v>
      </c>
      <c r="Z375" s="15">
        <f>IF(ISBLANK(Table25[[#This Row],[Roster Received By]]),1,0)</f>
        <v>1</v>
      </c>
      <c r="AA375" s="97">
        <f ca="1">IF(Table25[[#This Row],[Start Date]]&gt;TODAY(),1,)</f>
        <v>0</v>
      </c>
    </row>
    <row r="376" spans="1:27" s="61" customFormat="1" hidden="1" x14ac:dyDescent="0.25">
      <c r="B376" s="113"/>
      <c r="C376" s="97" t="e">
        <v>#N/A</v>
      </c>
      <c r="D376" s="97" t="e">
        <v>#N/A</v>
      </c>
      <c r="E376" s="113"/>
      <c r="F376" s="107"/>
      <c r="G376" s="107"/>
      <c r="H376" s="102"/>
      <c r="I376" s="102"/>
      <c r="J376" s="99"/>
      <c r="K376" s="99"/>
      <c r="L376" s="99"/>
      <c r="M376" s="99"/>
      <c r="N376" s="99"/>
      <c r="O376" s="96"/>
      <c r="P376" s="96"/>
      <c r="Q376" s="15" t="e">
        <v>#N/A</v>
      </c>
      <c r="R376" s="15" t="e">
        <v>#N/A</v>
      </c>
      <c r="S376" s="15"/>
      <c r="T376" s="100"/>
      <c r="U376" s="15"/>
      <c r="V376" s="15"/>
      <c r="W376" s="97"/>
      <c r="X376" s="96"/>
      <c r="Y376" s="106">
        <f ca="1">Table25[[#This Row],[End Date]]+2-TODAY()</f>
        <v>-45775</v>
      </c>
      <c r="Z376" s="15">
        <f>IF(ISBLANK(Table25[[#This Row],[Roster Received By]]),1,0)</f>
        <v>1</v>
      </c>
      <c r="AA376" s="97">
        <f ca="1">IF(Table25[[#This Row],[Start Date]]&gt;TODAY(),1,)</f>
        <v>0</v>
      </c>
    </row>
    <row r="377" spans="1:27" s="61" customFormat="1" hidden="1" x14ac:dyDescent="0.25">
      <c r="B377" s="113"/>
      <c r="C377" s="97" t="e">
        <v>#N/A</v>
      </c>
      <c r="D377" s="97" t="e">
        <v>#N/A</v>
      </c>
      <c r="E377" s="113"/>
      <c r="F377" s="107"/>
      <c r="G377" s="107"/>
      <c r="H377" s="99"/>
      <c r="I377" s="98"/>
      <c r="J377" s="98"/>
      <c r="K377" s="98"/>
      <c r="L377" s="98"/>
      <c r="M377" s="98"/>
      <c r="N377" s="98"/>
      <c r="O377" s="96"/>
      <c r="P377" s="96"/>
      <c r="Q377" s="15" t="e">
        <v>#N/A</v>
      </c>
      <c r="R377" s="15" t="e">
        <v>#N/A</v>
      </c>
      <c r="S377" s="15"/>
      <c r="T377" s="100"/>
      <c r="U377" s="15"/>
      <c r="V377" s="15"/>
      <c r="W377" s="97"/>
      <c r="X377" s="96"/>
      <c r="Y377" s="106">
        <f ca="1">Table25[[#This Row],[End Date]]+2-TODAY()</f>
        <v>-45775</v>
      </c>
      <c r="Z377" s="15">
        <f>IF(ISBLANK(Table25[[#This Row],[Roster Received By]]),1,0)</f>
        <v>1</v>
      </c>
      <c r="AA377" s="97">
        <f ca="1">IF(Table25[[#This Row],[Start Date]]&gt;TODAY(),1,)</f>
        <v>0</v>
      </c>
    </row>
    <row r="378" spans="1:27" s="61" customFormat="1" hidden="1" x14ac:dyDescent="0.25">
      <c r="B378" s="113"/>
      <c r="C378" s="97" t="e">
        <v>#N/A</v>
      </c>
      <c r="D378" s="97" t="e">
        <v>#N/A</v>
      </c>
      <c r="E378" s="113"/>
      <c r="F378" s="107"/>
      <c r="G378" s="107"/>
      <c r="H378" s="99"/>
      <c r="I378" s="98"/>
      <c r="J378" s="98"/>
      <c r="K378" s="98"/>
      <c r="L378" s="98"/>
      <c r="M378" s="98"/>
      <c r="N378" s="98"/>
      <c r="O378" s="96"/>
      <c r="P378" s="96"/>
      <c r="Q378" s="15" t="e">
        <v>#N/A</v>
      </c>
      <c r="R378" s="15" t="e">
        <v>#N/A</v>
      </c>
      <c r="S378" s="15"/>
      <c r="T378" s="100"/>
      <c r="U378" s="15"/>
      <c r="V378" s="15"/>
      <c r="W378" s="97"/>
      <c r="X378" s="96"/>
      <c r="Y378" s="106">
        <f ca="1">Table25[[#This Row],[End Date]]+2-TODAY()</f>
        <v>-45775</v>
      </c>
      <c r="Z378" s="15">
        <f>IF(ISBLANK(Table25[[#This Row],[Roster Received By]]),1,0)</f>
        <v>1</v>
      </c>
      <c r="AA378" s="97">
        <f ca="1">IF(Table25[[#This Row],[Start Date]]&gt;TODAY(),1,)</f>
        <v>0</v>
      </c>
    </row>
    <row r="379" spans="1:27" s="61" customFormat="1" hidden="1" x14ac:dyDescent="0.25">
      <c r="B379" s="123"/>
      <c r="C379" s="97" t="e">
        <v>#N/A</v>
      </c>
      <c r="D379" s="97" t="e">
        <v>#N/A</v>
      </c>
      <c r="E379" s="113"/>
      <c r="F379" s="107"/>
      <c r="G379" s="107"/>
      <c r="H379" s="99"/>
      <c r="I379" s="98"/>
      <c r="J379" s="98"/>
      <c r="K379" s="98"/>
      <c r="L379" s="98"/>
      <c r="M379" s="98"/>
      <c r="N379" s="98"/>
      <c r="O379" s="96"/>
      <c r="P379" s="96"/>
      <c r="Q379" s="15" t="e">
        <v>#N/A</v>
      </c>
      <c r="R379" s="15" t="e">
        <v>#N/A</v>
      </c>
      <c r="S379" s="15"/>
      <c r="T379" s="100"/>
      <c r="U379" s="15"/>
      <c r="V379" s="15"/>
      <c r="W379" s="97"/>
      <c r="X379" s="96"/>
      <c r="Y379" s="106">
        <f ca="1">Table25[[#This Row],[End Date]]+2-TODAY()</f>
        <v>-45775</v>
      </c>
      <c r="Z379" s="15">
        <f>IF(ISBLANK(Table25[[#This Row],[Roster Received By]]),1,0)</f>
        <v>1</v>
      </c>
      <c r="AA379" s="97">
        <f ca="1">IF(Table25[[#This Row],[Start Date]]&gt;TODAY(),1,)</f>
        <v>0</v>
      </c>
    </row>
    <row r="380" spans="1:27" s="61" customFormat="1" hidden="1" x14ac:dyDescent="0.25">
      <c r="B380" s="113"/>
      <c r="C380" s="97" t="e">
        <v>#N/A</v>
      </c>
      <c r="D380" s="97" t="e">
        <v>#N/A</v>
      </c>
      <c r="E380" s="96"/>
      <c r="F380" s="99"/>
      <c r="G380" s="99"/>
      <c r="H380" s="102"/>
      <c r="I380" s="102"/>
      <c r="J380" s="99"/>
      <c r="K380" s="99"/>
      <c r="L380" s="99"/>
      <c r="M380" s="99"/>
      <c r="N380" s="99"/>
      <c r="O380" s="96"/>
      <c r="P380" s="96"/>
      <c r="Q380" s="15" t="e">
        <v>#N/A</v>
      </c>
      <c r="R380" s="15" t="e">
        <v>#N/A</v>
      </c>
      <c r="S380" s="100"/>
      <c r="T380" s="100"/>
      <c r="U380" s="15"/>
      <c r="V380" s="15"/>
      <c r="W380" s="97"/>
      <c r="X380" s="96"/>
      <c r="Y380" s="106">
        <f ca="1">Table25[[#This Row],[End Date]]+2-TODAY()</f>
        <v>-45775</v>
      </c>
      <c r="Z380" s="15">
        <f>IF(ISBLANK(Table25[[#This Row],[Roster Received By]]),1,0)</f>
        <v>1</v>
      </c>
      <c r="AA380" s="97">
        <f ca="1">IF(Table25[[#This Row],[Start Date]]&gt;TODAY(),1,)</f>
        <v>0</v>
      </c>
    </row>
    <row r="381" spans="1:27" s="61" customFormat="1" hidden="1" x14ac:dyDescent="0.25">
      <c r="B381" s="65"/>
      <c r="C381" s="97" t="e">
        <v>#N/A</v>
      </c>
      <c r="D381" s="97" t="e">
        <v>#N/A</v>
      </c>
      <c r="E381" s="67"/>
      <c r="F381" s="66"/>
      <c r="G381" s="66"/>
      <c r="H381" s="98"/>
      <c r="I381" s="98"/>
      <c r="J381" s="99"/>
      <c r="K381" s="99"/>
      <c r="L381" s="99"/>
      <c r="M381" s="99"/>
      <c r="N381" s="99"/>
      <c r="O381" s="96"/>
      <c r="P381" s="96"/>
      <c r="Q381" s="15" t="e">
        <v>#N/A</v>
      </c>
      <c r="R381" s="15" t="e">
        <v>#N/A</v>
      </c>
      <c r="S381" s="15"/>
      <c r="T381" s="100"/>
      <c r="U381" s="15"/>
      <c r="V381" s="15"/>
      <c r="W381" s="97"/>
      <c r="X381" s="96"/>
      <c r="Y381" s="106">
        <f ca="1">Table25[[#This Row],[End Date]]+2-TODAY()</f>
        <v>-45775</v>
      </c>
      <c r="Z381" s="15">
        <f>IF(ISBLANK(Table25[[#This Row],[Roster Received By]]),1,0)</f>
        <v>1</v>
      </c>
      <c r="AA381" s="97">
        <f ca="1">IF(Table25[[#This Row],[Start Date]]&gt;TODAY(),1,)</f>
        <v>0</v>
      </c>
    </row>
    <row r="382" spans="1:27" s="61" customFormat="1" hidden="1" x14ac:dyDescent="0.25">
      <c r="A382" s="96"/>
      <c r="B382" s="113"/>
      <c r="C382" s="97" t="e">
        <v>#N/A</v>
      </c>
      <c r="D382" s="97" t="e">
        <v>#N/A</v>
      </c>
      <c r="E382" s="119"/>
      <c r="F382" s="99"/>
      <c r="G382" s="99"/>
      <c r="H382" s="99"/>
      <c r="I382" s="98"/>
      <c r="J382" s="98"/>
      <c r="K382" s="98"/>
      <c r="L382" s="98"/>
      <c r="M382" s="98"/>
      <c r="N382" s="98"/>
      <c r="O382" s="96"/>
      <c r="P382" s="96"/>
      <c r="Q382" s="15" t="e">
        <v>#N/A</v>
      </c>
      <c r="R382" s="15" t="e">
        <v>#N/A</v>
      </c>
      <c r="S382" s="15"/>
      <c r="T382" s="100"/>
      <c r="U382" s="15"/>
      <c r="V382" s="15"/>
      <c r="W382" s="97"/>
      <c r="X382" s="96"/>
      <c r="Y382" s="106">
        <f ca="1">Table25[[#This Row],[End Date]]+2-TODAY()</f>
        <v>-45775</v>
      </c>
      <c r="Z382" s="15">
        <f>IF(ISBLANK(Table25[[#This Row],[Roster Received By]]),1,0)</f>
        <v>1</v>
      </c>
      <c r="AA382" s="97">
        <f ca="1">IF(Table25[[#This Row],[Start Date]]&gt;TODAY(),1,)</f>
        <v>0</v>
      </c>
    </row>
    <row r="383" spans="1:27" s="61" customFormat="1" hidden="1" x14ac:dyDescent="0.25">
      <c r="B383" s="113"/>
      <c r="C383" s="97" t="e">
        <v>#N/A</v>
      </c>
      <c r="D383" s="97" t="e">
        <v>#N/A</v>
      </c>
      <c r="E383" s="67"/>
      <c r="F383" s="66"/>
      <c r="G383" s="66"/>
      <c r="H383" s="66"/>
      <c r="I383" s="98"/>
      <c r="J383" s="98"/>
      <c r="K383" s="98"/>
      <c r="L383" s="98"/>
      <c r="M383" s="98"/>
      <c r="N383" s="98"/>
      <c r="O383" s="96"/>
      <c r="P383" s="96"/>
      <c r="Q383" s="15" t="e">
        <v>#N/A</v>
      </c>
      <c r="R383" s="15" t="e">
        <v>#N/A</v>
      </c>
      <c r="S383" s="15"/>
      <c r="T383" s="100"/>
      <c r="U383" s="15"/>
      <c r="V383" s="15"/>
      <c r="W383" s="97"/>
      <c r="X383" s="96"/>
      <c r="Y383" s="106">
        <f ca="1">Table25[[#This Row],[End Date]]+2-TODAY()</f>
        <v>-45775</v>
      </c>
      <c r="Z383" s="15">
        <f>IF(ISBLANK(Table25[[#This Row],[Roster Received By]]),1,0)</f>
        <v>1</v>
      </c>
      <c r="AA383" s="97">
        <f ca="1">IF(Table25[[#This Row],[Start Date]]&gt;TODAY(),1,)</f>
        <v>0</v>
      </c>
    </row>
    <row r="384" spans="1:27" s="61" customFormat="1" hidden="1" x14ac:dyDescent="0.25">
      <c r="B384" s="113"/>
      <c r="C384" s="97" t="e">
        <v>#N/A</v>
      </c>
      <c r="D384" s="97" t="e">
        <v>#N/A</v>
      </c>
      <c r="E384" s="67"/>
      <c r="F384" s="66"/>
      <c r="G384" s="66"/>
      <c r="H384" s="66"/>
      <c r="I384" s="98"/>
      <c r="J384" s="98"/>
      <c r="K384" s="98"/>
      <c r="L384" s="98"/>
      <c r="M384" s="98"/>
      <c r="N384" s="98"/>
      <c r="O384" s="96"/>
      <c r="P384" s="96"/>
      <c r="Q384" s="15" t="e">
        <v>#N/A</v>
      </c>
      <c r="R384" s="15" t="e">
        <v>#N/A</v>
      </c>
      <c r="S384" s="15"/>
      <c r="T384" s="100"/>
      <c r="U384" s="15"/>
      <c r="V384" s="15"/>
      <c r="W384" s="97"/>
      <c r="X384" s="96"/>
      <c r="Y384" s="106">
        <f ca="1">Table25[[#This Row],[End Date]]+2-TODAY()</f>
        <v>-45775</v>
      </c>
      <c r="Z384" s="15">
        <f>IF(ISBLANK(Table25[[#This Row],[Roster Received By]]),1,0)</f>
        <v>1</v>
      </c>
      <c r="AA384" s="97">
        <f ca="1">IF(Table25[[#This Row],[Start Date]]&gt;TODAY(),1,)</f>
        <v>0</v>
      </c>
    </row>
    <row r="385" spans="1:27" s="61" customFormat="1" hidden="1" x14ac:dyDescent="0.25">
      <c r="B385" s="113"/>
      <c r="C385" s="97" t="e">
        <v>#N/A</v>
      </c>
      <c r="D385" s="97" t="e">
        <v>#N/A</v>
      </c>
      <c r="E385" s="67"/>
      <c r="F385" s="66"/>
      <c r="G385" s="66"/>
      <c r="H385" s="98"/>
      <c r="I385" s="98"/>
      <c r="J385" s="99"/>
      <c r="K385" s="99"/>
      <c r="L385" s="99"/>
      <c r="M385" s="99"/>
      <c r="N385" s="99"/>
      <c r="O385" s="96"/>
      <c r="P385" s="96"/>
      <c r="Q385" s="15" t="e">
        <v>#N/A</v>
      </c>
      <c r="R385" s="15" t="e">
        <v>#N/A</v>
      </c>
      <c r="S385" s="15"/>
      <c r="T385" s="100"/>
      <c r="U385" s="15"/>
      <c r="V385" s="15"/>
      <c r="W385" s="97"/>
      <c r="X385" s="96"/>
      <c r="Y385" s="106">
        <f ca="1">Table25[[#This Row],[End Date]]+2-TODAY()</f>
        <v>-45775</v>
      </c>
      <c r="Z385" s="15">
        <f>IF(ISBLANK(Table25[[#This Row],[Roster Received By]]),1,0)</f>
        <v>1</v>
      </c>
      <c r="AA385" s="97">
        <f ca="1">IF(Table25[[#This Row],[Start Date]]&gt;TODAY(),1,)</f>
        <v>0</v>
      </c>
    </row>
    <row r="386" spans="1:27" s="61" customFormat="1" hidden="1" x14ac:dyDescent="0.25">
      <c r="B386" s="113"/>
      <c r="C386" s="97" t="e">
        <v>#N/A</v>
      </c>
      <c r="D386" s="97" t="e">
        <v>#N/A</v>
      </c>
      <c r="E386" s="96"/>
      <c r="F386" s="66"/>
      <c r="G386" s="99"/>
      <c r="H386" s="99"/>
      <c r="I386" s="98"/>
      <c r="J386" s="98"/>
      <c r="K386" s="98"/>
      <c r="L386" s="98"/>
      <c r="M386" s="98"/>
      <c r="N386" s="98"/>
      <c r="O386" s="96"/>
      <c r="P386" s="96"/>
      <c r="Q386" s="15" t="e">
        <v>#N/A</v>
      </c>
      <c r="R386" s="15" t="e">
        <v>#N/A</v>
      </c>
      <c r="S386" s="15"/>
      <c r="T386" s="100"/>
      <c r="U386" s="15"/>
      <c r="V386" s="15"/>
      <c r="W386" s="97"/>
      <c r="X386" s="96"/>
      <c r="Y386" s="106">
        <f ca="1">Table25[[#This Row],[End Date]]+2-TODAY()</f>
        <v>-45775</v>
      </c>
      <c r="Z386" s="15">
        <f>IF(ISBLANK(Table25[[#This Row],[Roster Received By]]),1,0)</f>
        <v>1</v>
      </c>
      <c r="AA386" s="97">
        <f ca="1">IF(Table25[[#This Row],[Start Date]]&gt;TODAY(),1,)</f>
        <v>0</v>
      </c>
    </row>
    <row r="387" spans="1:27" s="61" customFormat="1" hidden="1" x14ac:dyDescent="0.25">
      <c r="B387" s="113"/>
      <c r="C387" s="97" t="e">
        <v>#N/A</v>
      </c>
      <c r="D387" s="97" t="e">
        <v>#N/A</v>
      </c>
      <c r="E387" s="113"/>
      <c r="F387" s="99"/>
      <c r="G387" s="99"/>
      <c r="H387" s="99"/>
      <c r="I387" s="98"/>
      <c r="J387" s="98"/>
      <c r="K387" s="98"/>
      <c r="L387" s="98"/>
      <c r="M387" s="98"/>
      <c r="N387" s="98"/>
      <c r="O387" s="96"/>
      <c r="P387" s="96"/>
      <c r="Q387" s="15" t="e">
        <v>#N/A</v>
      </c>
      <c r="R387" s="15" t="e">
        <v>#N/A</v>
      </c>
      <c r="S387" s="15"/>
      <c r="T387" s="100"/>
      <c r="U387" s="15"/>
      <c r="V387" s="15"/>
      <c r="W387" s="97"/>
      <c r="X387" s="96"/>
      <c r="Y387" s="106">
        <f ca="1">Table25[[#This Row],[End Date]]+2-TODAY()</f>
        <v>-45775</v>
      </c>
      <c r="Z387" s="15">
        <f>IF(ISBLANK(Table25[[#This Row],[Roster Received By]]),1,0)</f>
        <v>1</v>
      </c>
      <c r="AA387" s="97">
        <f ca="1">IF(Table25[[#This Row],[Start Date]]&gt;TODAY(),1,)</f>
        <v>0</v>
      </c>
    </row>
    <row r="388" spans="1:27" s="61" customFormat="1" hidden="1" x14ac:dyDescent="0.25">
      <c r="B388" s="65"/>
      <c r="C388" s="97" t="e">
        <v>#N/A</v>
      </c>
      <c r="D388" s="97" t="e">
        <v>#N/A</v>
      </c>
      <c r="E388" s="67"/>
      <c r="F388" s="66"/>
      <c r="G388" s="66"/>
      <c r="H388" s="98"/>
      <c r="I388" s="98"/>
      <c r="J388" s="99"/>
      <c r="K388" s="99"/>
      <c r="L388" s="99"/>
      <c r="M388" s="99"/>
      <c r="N388" s="99"/>
      <c r="O388" s="96"/>
      <c r="P388" s="96"/>
      <c r="Q388" s="15" t="e">
        <v>#N/A</v>
      </c>
      <c r="R388" s="15" t="e">
        <v>#N/A</v>
      </c>
      <c r="S388" s="15"/>
      <c r="T388" s="100"/>
      <c r="U388" s="15"/>
      <c r="V388" s="15"/>
      <c r="W388" s="97"/>
      <c r="X388" s="96"/>
      <c r="Y388" s="106">
        <f ca="1">Table25[[#This Row],[End Date]]+2-TODAY()</f>
        <v>-45775</v>
      </c>
      <c r="Z388" s="15">
        <f>IF(ISBLANK(Table25[[#This Row],[Roster Received By]]),1,0)</f>
        <v>1</v>
      </c>
      <c r="AA388" s="97">
        <f ca="1">IF(Table25[[#This Row],[Start Date]]&gt;TODAY(),1,)</f>
        <v>0</v>
      </c>
    </row>
    <row r="389" spans="1:27" s="61" customFormat="1" hidden="1" x14ac:dyDescent="0.25">
      <c r="B389" s="113"/>
      <c r="C389" s="97" t="e">
        <v>#N/A</v>
      </c>
      <c r="D389" s="97" t="e">
        <v>#N/A</v>
      </c>
      <c r="E389" s="67"/>
      <c r="F389" s="99"/>
      <c r="G389" s="99"/>
      <c r="H389" s="102"/>
      <c r="I389" s="102"/>
      <c r="J389" s="99"/>
      <c r="K389" s="99"/>
      <c r="L389" s="99"/>
      <c r="M389" s="99"/>
      <c r="N389" s="99"/>
      <c r="O389" s="96"/>
      <c r="P389" s="96"/>
      <c r="Q389" s="15" t="e">
        <v>#N/A</v>
      </c>
      <c r="R389" s="15" t="e">
        <v>#N/A</v>
      </c>
      <c r="S389" s="15"/>
      <c r="T389" s="100"/>
      <c r="U389" s="15"/>
      <c r="V389" s="15"/>
      <c r="W389" s="97"/>
      <c r="X389" s="96"/>
      <c r="Y389" s="106">
        <f ca="1">Table25[[#This Row],[End Date]]+2-TODAY()</f>
        <v>-45775</v>
      </c>
      <c r="Z389" s="15">
        <f>IF(ISBLANK(Table25[[#This Row],[Roster Received By]]),1,0)</f>
        <v>1</v>
      </c>
      <c r="AA389" s="97">
        <f ca="1">IF(Table25[[#This Row],[Start Date]]&gt;TODAY(),1,)</f>
        <v>0</v>
      </c>
    </row>
    <row r="390" spans="1:27" s="61" customFormat="1" hidden="1" x14ac:dyDescent="0.25">
      <c r="A390" s="96"/>
      <c r="B390" s="96"/>
      <c r="C390" s="97" t="e">
        <v>#N/A</v>
      </c>
      <c r="D390" s="97" t="e">
        <v>#N/A</v>
      </c>
      <c r="E390" s="119"/>
      <c r="F390" s="99"/>
      <c r="G390" s="99"/>
      <c r="H390" s="99"/>
      <c r="I390" s="98"/>
      <c r="J390" s="98"/>
      <c r="K390" s="98"/>
      <c r="L390" s="98"/>
      <c r="M390" s="98"/>
      <c r="N390" s="98"/>
      <c r="O390" s="96"/>
      <c r="P390" s="96"/>
      <c r="Q390" s="15" t="e">
        <v>#N/A</v>
      </c>
      <c r="R390" s="15" t="e">
        <v>#N/A</v>
      </c>
      <c r="S390" s="15"/>
      <c r="T390" s="100"/>
      <c r="U390" s="15"/>
      <c r="V390" s="15"/>
      <c r="W390" s="97"/>
      <c r="X390" s="96"/>
      <c r="Y390" s="106">
        <f ca="1">Table25[[#This Row],[End Date]]+2-TODAY()</f>
        <v>-45775</v>
      </c>
      <c r="Z390" s="15">
        <f>IF(ISBLANK(Table25[[#This Row],[Roster Received By]]),1,0)</f>
        <v>1</v>
      </c>
      <c r="AA390" s="97">
        <f ca="1">IF(Table25[[#This Row],[Start Date]]&gt;TODAY(),1,)</f>
        <v>0</v>
      </c>
    </row>
    <row r="391" spans="1:27" s="61" customFormat="1" hidden="1" x14ac:dyDescent="0.25">
      <c r="B391" s="96"/>
      <c r="C391" s="97" t="e">
        <v>#N/A</v>
      </c>
      <c r="D391" s="97" t="e">
        <v>#N/A</v>
      </c>
      <c r="E391" s="119"/>
      <c r="F391" s="99"/>
      <c r="G391" s="99"/>
      <c r="H391" s="99"/>
      <c r="I391" s="98"/>
      <c r="J391" s="98"/>
      <c r="K391" s="98"/>
      <c r="L391" s="98"/>
      <c r="M391" s="98"/>
      <c r="N391" s="98"/>
      <c r="O391" s="96"/>
      <c r="P391" s="96"/>
      <c r="Q391" s="15" t="e">
        <v>#N/A</v>
      </c>
      <c r="R391" s="15" t="e">
        <v>#N/A</v>
      </c>
      <c r="S391" s="15"/>
      <c r="T391" s="100"/>
      <c r="U391" s="15"/>
      <c r="V391" s="15"/>
      <c r="W391" s="97"/>
      <c r="X391" s="96"/>
      <c r="Y391" s="106">
        <f ca="1">Table25[[#This Row],[End Date]]+2-TODAY()</f>
        <v>-45775</v>
      </c>
      <c r="Z391" s="15">
        <f>IF(ISBLANK(Table25[[#This Row],[Roster Received By]]),1,0)</f>
        <v>1</v>
      </c>
      <c r="AA391" s="97">
        <f ca="1">IF(Table25[[#This Row],[Start Date]]&gt;TODAY(),1,)</f>
        <v>0</v>
      </c>
    </row>
    <row r="392" spans="1:27" s="61" customFormat="1" hidden="1" x14ac:dyDescent="0.25">
      <c r="B392" s="113"/>
      <c r="C392" s="97" t="e">
        <v>#N/A</v>
      </c>
      <c r="D392" s="97" t="e">
        <v>#N/A</v>
      </c>
      <c r="E392" s="119"/>
      <c r="F392" s="99"/>
      <c r="G392" s="99"/>
      <c r="H392" s="99"/>
      <c r="I392" s="98"/>
      <c r="J392" s="98"/>
      <c r="K392" s="98"/>
      <c r="L392" s="98"/>
      <c r="M392" s="98"/>
      <c r="N392" s="98"/>
      <c r="O392" s="96"/>
      <c r="P392" s="96"/>
      <c r="Q392" s="15" t="e">
        <v>#N/A</v>
      </c>
      <c r="R392" s="15" t="e">
        <v>#N/A</v>
      </c>
      <c r="S392" s="15"/>
      <c r="T392" s="100"/>
      <c r="U392" s="15"/>
      <c r="V392" s="15"/>
      <c r="W392" s="97"/>
      <c r="X392" s="96"/>
      <c r="Y392" s="106">
        <f ca="1">Table25[[#This Row],[End Date]]+2-TODAY()</f>
        <v>-45775</v>
      </c>
      <c r="Z392" s="15">
        <f>IF(ISBLANK(Table25[[#This Row],[Roster Received By]]),1,0)</f>
        <v>1</v>
      </c>
      <c r="AA392" s="97">
        <f ca="1">IF(Table25[[#This Row],[Start Date]]&gt;TODAY(),1,)</f>
        <v>0</v>
      </c>
    </row>
    <row r="393" spans="1:27" s="61" customFormat="1" hidden="1" x14ac:dyDescent="0.25">
      <c r="B393" s="113"/>
      <c r="C393" s="97" t="e">
        <v>#N/A</v>
      </c>
      <c r="D393" s="97" t="e">
        <v>#N/A</v>
      </c>
      <c r="E393" s="67"/>
      <c r="F393" s="99"/>
      <c r="G393" s="99"/>
      <c r="H393" s="105"/>
      <c r="I393" s="105"/>
      <c r="J393" s="99"/>
      <c r="K393" s="99"/>
      <c r="L393" s="99"/>
      <c r="M393" s="99"/>
      <c r="N393" s="99"/>
      <c r="O393" s="96"/>
      <c r="P393" s="96"/>
      <c r="Q393" s="15" t="e">
        <v>#N/A</v>
      </c>
      <c r="R393" s="15" t="e">
        <v>#N/A</v>
      </c>
      <c r="S393" s="15"/>
      <c r="T393" s="100"/>
      <c r="U393" s="15"/>
      <c r="V393" s="15"/>
      <c r="W393" s="97"/>
      <c r="X393" s="96"/>
      <c r="Y393" s="106">
        <f ca="1">Table25[[#This Row],[End Date]]+2-TODAY()</f>
        <v>-45775</v>
      </c>
      <c r="Z393" s="15">
        <f>IF(ISBLANK(Table25[[#This Row],[Roster Received By]]),1,0)</f>
        <v>1</v>
      </c>
      <c r="AA393" s="97">
        <f ca="1">IF(Table25[[#This Row],[Start Date]]&gt;TODAY(),1,)</f>
        <v>0</v>
      </c>
    </row>
    <row r="394" spans="1:27" s="61" customFormat="1" hidden="1" x14ac:dyDescent="0.25">
      <c r="B394" s="96"/>
      <c r="C394" s="97" t="e">
        <v>#N/A</v>
      </c>
      <c r="D394" s="97" t="e">
        <v>#N/A</v>
      </c>
      <c r="E394" s="96"/>
      <c r="F394" s="99"/>
      <c r="G394" s="99"/>
      <c r="H394" s="99"/>
      <c r="I394" s="98"/>
      <c r="J394" s="98"/>
      <c r="K394" s="98"/>
      <c r="L394" s="98"/>
      <c r="M394" s="98"/>
      <c r="N394" s="98"/>
      <c r="O394" s="96"/>
      <c r="P394" s="96"/>
      <c r="Q394" s="15" t="e">
        <v>#N/A</v>
      </c>
      <c r="R394" s="15" t="e">
        <v>#N/A</v>
      </c>
      <c r="S394" s="15"/>
      <c r="T394" s="100"/>
      <c r="U394" s="15"/>
      <c r="V394" s="15"/>
      <c r="W394" s="97"/>
      <c r="X394" s="96"/>
      <c r="Y394" s="106">
        <f ca="1">Table25[[#This Row],[End Date]]+2-TODAY()</f>
        <v>-45775</v>
      </c>
      <c r="Z394" s="15">
        <f>IF(ISBLANK(Table25[[#This Row],[Roster Received By]]),1,0)</f>
        <v>1</v>
      </c>
      <c r="AA394" s="97">
        <f ca="1">IF(Table25[[#This Row],[Start Date]]&gt;TODAY(),1,)</f>
        <v>0</v>
      </c>
    </row>
    <row r="395" spans="1:27" s="61" customFormat="1" hidden="1" x14ac:dyDescent="0.25">
      <c r="A395" s="96"/>
      <c r="B395" s="96"/>
      <c r="C395" s="97" t="e">
        <v>#N/A</v>
      </c>
      <c r="D395" s="97" t="e">
        <v>#N/A</v>
      </c>
      <c r="E395" s="119"/>
      <c r="F395" s="99"/>
      <c r="G395" s="99"/>
      <c r="H395" s="99"/>
      <c r="I395" s="98"/>
      <c r="J395" s="98"/>
      <c r="K395" s="98"/>
      <c r="L395" s="98"/>
      <c r="M395" s="98"/>
      <c r="N395" s="98"/>
      <c r="O395" s="96"/>
      <c r="P395" s="96"/>
      <c r="Q395" s="15" t="e">
        <v>#N/A</v>
      </c>
      <c r="R395" s="15" t="e">
        <v>#N/A</v>
      </c>
      <c r="S395" s="15"/>
      <c r="T395" s="100"/>
      <c r="U395" s="15"/>
      <c r="V395" s="15"/>
      <c r="W395" s="97"/>
      <c r="X395" s="96"/>
      <c r="Y395" s="106">
        <f ca="1">Table25[[#This Row],[End Date]]+2-TODAY()</f>
        <v>-45775</v>
      </c>
      <c r="Z395" s="15">
        <f>IF(ISBLANK(Table25[[#This Row],[Roster Received By]]),1,0)</f>
        <v>1</v>
      </c>
      <c r="AA395" s="97">
        <f ca="1">IF(Table25[[#This Row],[Start Date]]&gt;TODAY(),1,)</f>
        <v>0</v>
      </c>
    </row>
    <row r="396" spans="1:27" s="61" customFormat="1" hidden="1" x14ac:dyDescent="0.25">
      <c r="B396" s="96"/>
      <c r="C396" s="97" t="e">
        <v>#N/A</v>
      </c>
      <c r="D396" s="97" t="e">
        <v>#N/A</v>
      </c>
      <c r="E396" s="119"/>
      <c r="F396" s="99"/>
      <c r="G396" s="99"/>
      <c r="H396" s="102"/>
      <c r="I396" s="102"/>
      <c r="J396" s="99"/>
      <c r="K396" s="99"/>
      <c r="L396" s="122"/>
      <c r="M396" s="99"/>
      <c r="N396" s="99"/>
      <c r="O396" s="96"/>
      <c r="P396" s="96"/>
      <c r="Q396" s="15" t="e">
        <v>#N/A</v>
      </c>
      <c r="R396" s="15" t="e">
        <v>#N/A</v>
      </c>
      <c r="S396" s="100"/>
      <c r="T396" s="100"/>
      <c r="U396" s="15"/>
      <c r="V396" s="15"/>
      <c r="W396" s="97"/>
      <c r="X396" s="96"/>
      <c r="Y396" s="106">
        <f ca="1">Table25[[#This Row],[End Date]]+2-TODAY()</f>
        <v>-45775</v>
      </c>
      <c r="Z396" s="15">
        <f>IF(ISBLANK(Table25[[#This Row],[Roster Received By]]),1,0)</f>
        <v>1</v>
      </c>
      <c r="AA396" s="97">
        <f ca="1">IF(Table25[[#This Row],[Start Date]]&gt;TODAY(),1,)</f>
        <v>0</v>
      </c>
    </row>
    <row r="397" spans="1:27" s="61" customFormat="1" hidden="1" x14ac:dyDescent="0.25">
      <c r="B397" s="96"/>
      <c r="C397" s="97" t="e">
        <v>#N/A</v>
      </c>
      <c r="D397" s="97" t="e">
        <v>#N/A</v>
      </c>
      <c r="E397" s="119"/>
      <c r="F397" s="99"/>
      <c r="G397" s="99"/>
      <c r="H397" s="102"/>
      <c r="I397" s="102"/>
      <c r="J397" s="99"/>
      <c r="K397" s="99"/>
      <c r="L397" s="99"/>
      <c r="M397" s="99"/>
      <c r="N397" s="99"/>
      <c r="O397" s="96"/>
      <c r="P397" s="96"/>
      <c r="Q397" s="15" t="e">
        <v>#N/A</v>
      </c>
      <c r="R397" s="15" t="e">
        <v>#N/A</v>
      </c>
      <c r="S397" s="15"/>
      <c r="T397" s="100"/>
      <c r="U397" s="15"/>
      <c r="V397" s="15"/>
      <c r="W397" s="15"/>
      <c r="X397" s="96"/>
      <c r="Y397" s="69">
        <f ca="1">Table25[[#This Row],[End Date]]+2-TODAY()</f>
        <v>-45775</v>
      </c>
      <c r="Z397" s="15">
        <f>IF(ISBLANK(Table25[[#This Row],[Roster Received By]]),1,0)</f>
        <v>1</v>
      </c>
      <c r="AA397" s="15">
        <f ca="1">IF(Table25[[#This Row],[Start Date]]&gt;TODAY(),1,)</f>
        <v>0</v>
      </c>
    </row>
    <row r="398" spans="1:27" s="61" customFormat="1" hidden="1" x14ac:dyDescent="0.25">
      <c r="B398" s="96"/>
      <c r="C398" s="97" t="e">
        <v>#N/A</v>
      </c>
      <c r="D398" s="97" t="e">
        <v>#N/A</v>
      </c>
      <c r="E398" s="65"/>
      <c r="F398" s="66"/>
      <c r="G398" s="66"/>
      <c r="H398" s="98"/>
      <c r="I398" s="98"/>
      <c r="J398" s="99"/>
      <c r="K398" s="99"/>
      <c r="L398" s="99"/>
      <c r="M398" s="99"/>
      <c r="N398" s="99"/>
      <c r="O398" s="96"/>
      <c r="P398" s="96"/>
      <c r="Q398" s="15" t="e">
        <v>#N/A</v>
      </c>
      <c r="R398" s="15" t="e">
        <v>#N/A</v>
      </c>
      <c r="S398" s="15"/>
      <c r="T398" s="100"/>
      <c r="U398" s="15"/>
      <c r="V398" s="15"/>
      <c r="W398" s="15"/>
      <c r="X398" s="96"/>
      <c r="Y398" s="69">
        <f ca="1">Table25[[#This Row],[End Date]]+2-TODAY()</f>
        <v>-45775</v>
      </c>
      <c r="Z398" s="15">
        <f>IF(ISBLANK(Table25[[#This Row],[Roster Received By]]),1,0)</f>
        <v>1</v>
      </c>
      <c r="AA398" s="15">
        <f ca="1">IF(Table25[[#This Row],[Start Date]]&gt;TODAY(),1,)</f>
        <v>0</v>
      </c>
    </row>
    <row r="399" spans="1:27" s="61" customFormat="1" hidden="1" x14ac:dyDescent="0.25">
      <c r="B399" s="96"/>
      <c r="C399" s="97" t="e">
        <v>#N/A</v>
      </c>
      <c r="D399" s="97" t="e">
        <v>#N/A</v>
      </c>
      <c r="E399" s="67"/>
      <c r="F399" s="99"/>
      <c r="G399" s="99"/>
      <c r="H399" s="102"/>
      <c r="I399" s="102"/>
      <c r="J399" s="99"/>
      <c r="K399" s="99"/>
      <c r="L399" s="99"/>
      <c r="M399" s="99"/>
      <c r="N399" s="99"/>
      <c r="O399" s="96"/>
      <c r="P399" s="96"/>
      <c r="Q399" s="15" t="e">
        <v>#N/A</v>
      </c>
      <c r="R399" s="15" t="e">
        <v>#N/A</v>
      </c>
      <c r="S399" s="15"/>
      <c r="T399" s="100"/>
      <c r="U399" s="15"/>
      <c r="V399" s="15"/>
      <c r="W399" s="97"/>
      <c r="X399" s="96"/>
      <c r="Y399" s="106">
        <f ca="1">Table25[[#This Row],[End Date]]+2-TODAY()</f>
        <v>-45775</v>
      </c>
      <c r="Z399" s="15">
        <f>IF(ISBLANK(Table25[[#This Row],[Roster Received By]]),1,0)</f>
        <v>1</v>
      </c>
      <c r="AA399" s="97">
        <f ca="1">IF(Table25[[#This Row],[Start Date]]&gt;TODAY(),1,)</f>
        <v>0</v>
      </c>
    </row>
    <row r="400" spans="1:27" s="61" customFormat="1" hidden="1" x14ac:dyDescent="0.25">
      <c r="B400" s="113"/>
      <c r="C400" s="97" t="e">
        <v>#N/A</v>
      </c>
      <c r="D400" s="97" t="e">
        <v>#N/A</v>
      </c>
      <c r="E400" s="67"/>
      <c r="F400" s="99"/>
      <c r="G400" s="99"/>
      <c r="H400" s="102"/>
      <c r="I400" s="102"/>
      <c r="J400" s="99"/>
      <c r="K400" s="99"/>
      <c r="L400" s="99"/>
      <c r="M400" s="99"/>
      <c r="N400" s="99"/>
      <c r="O400" s="96"/>
      <c r="P400" s="96"/>
      <c r="Q400" s="15" t="e">
        <v>#N/A</v>
      </c>
      <c r="R400" s="15" t="e">
        <v>#N/A</v>
      </c>
      <c r="S400" s="15"/>
      <c r="T400" s="100"/>
      <c r="U400" s="15"/>
      <c r="V400" s="15"/>
      <c r="W400" s="97"/>
      <c r="X400" s="96"/>
      <c r="Y400" s="106">
        <f ca="1">Table25[[#This Row],[End Date]]+2-TODAY()</f>
        <v>-45775</v>
      </c>
      <c r="Z400" s="15">
        <f>IF(ISBLANK(Table25[[#This Row],[Roster Received By]]),1,0)</f>
        <v>1</v>
      </c>
      <c r="AA400" s="97">
        <f ca="1">IF(Table25[[#This Row],[Start Date]]&gt;TODAY(),1,)</f>
        <v>0</v>
      </c>
    </row>
    <row r="401" spans="1:27" s="61" customFormat="1" hidden="1" x14ac:dyDescent="0.25">
      <c r="B401" s="96"/>
      <c r="C401" s="97" t="e">
        <v>#N/A</v>
      </c>
      <c r="D401" s="97" t="e">
        <v>#N/A</v>
      </c>
      <c r="E401" s="119"/>
      <c r="F401" s="99"/>
      <c r="G401" s="99"/>
      <c r="H401" s="102"/>
      <c r="I401" s="102"/>
      <c r="J401" s="99"/>
      <c r="K401" s="99"/>
      <c r="L401" s="99"/>
      <c r="M401" s="99"/>
      <c r="N401" s="99"/>
      <c r="O401" s="96"/>
      <c r="P401" s="96"/>
      <c r="Q401" s="15" t="e">
        <v>#N/A</v>
      </c>
      <c r="R401" s="15" t="e">
        <v>#N/A</v>
      </c>
      <c r="S401" s="100"/>
      <c r="T401" s="100"/>
      <c r="U401" s="15"/>
      <c r="V401" s="15"/>
      <c r="W401" s="97"/>
      <c r="X401" s="96"/>
      <c r="Y401" s="106">
        <f ca="1">Table25[[#This Row],[End Date]]+2-TODAY()</f>
        <v>-45775</v>
      </c>
      <c r="Z401" s="15">
        <f>IF(ISBLANK(Table25[[#This Row],[Roster Received By]]),1,0)</f>
        <v>1</v>
      </c>
      <c r="AA401" s="97">
        <f ca="1">IF(Table25[[#This Row],[Start Date]]&gt;TODAY(),1,)</f>
        <v>0</v>
      </c>
    </row>
    <row r="402" spans="1:27" s="61" customFormat="1" hidden="1" x14ac:dyDescent="0.25">
      <c r="B402" s="96"/>
      <c r="C402" s="97" t="e">
        <v>#N/A</v>
      </c>
      <c r="D402" s="97" t="e">
        <v>#N/A</v>
      </c>
      <c r="E402" s="119"/>
      <c r="F402" s="99"/>
      <c r="G402" s="99"/>
      <c r="H402" s="102"/>
      <c r="I402" s="102"/>
      <c r="J402" s="102"/>
      <c r="K402" s="102"/>
      <c r="L402" s="102"/>
      <c r="M402" s="102"/>
      <c r="N402" s="102"/>
      <c r="O402" s="96"/>
      <c r="P402" s="96"/>
      <c r="Q402" s="15" t="e">
        <v>#N/A</v>
      </c>
      <c r="R402" s="15" t="e">
        <v>#N/A</v>
      </c>
      <c r="S402" s="15"/>
      <c r="T402" s="100"/>
      <c r="U402" s="15"/>
      <c r="V402" s="15"/>
      <c r="W402" s="15"/>
      <c r="X402" s="96"/>
      <c r="Y402" s="106">
        <f ca="1">Table25[[#This Row],[End Date]]+2-TODAY()</f>
        <v>-45775</v>
      </c>
      <c r="Z402" s="15">
        <f>IF(ISBLANK(Table25[[#This Row],[Roster Received By]]),1,0)</f>
        <v>1</v>
      </c>
      <c r="AA402" s="97">
        <f ca="1">IF(Table25[[#This Row],[Start Date]]&gt;TODAY(),1,)</f>
        <v>0</v>
      </c>
    </row>
    <row r="403" spans="1:27" s="61" customFormat="1" hidden="1" x14ac:dyDescent="0.25">
      <c r="B403" s="96"/>
      <c r="C403" s="97" t="e">
        <v>#N/A</v>
      </c>
      <c r="D403" s="97" t="e">
        <v>#N/A</v>
      </c>
      <c r="E403" s="96"/>
      <c r="F403" s="99"/>
      <c r="G403" s="99"/>
      <c r="H403" s="99"/>
      <c r="I403" s="98"/>
      <c r="J403" s="98"/>
      <c r="K403" s="98"/>
      <c r="L403" s="98"/>
      <c r="M403" s="98"/>
      <c r="N403" s="98"/>
      <c r="O403" s="96"/>
      <c r="P403" s="96"/>
      <c r="Q403" s="15" t="e">
        <v>#N/A</v>
      </c>
      <c r="R403" s="15" t="e">
        <v>#N/A</v>
      </c>
      <c r="S403" s="15"/>
      <c r="T403" s="100"/>
      <c r="U403" s="15"/>
      <c r="V403" s="15"/>
      <c r="W403" s="97"/>
      <c r="X403" s="96"/>
      <c r="Y403" s="106">
        <f ca="1">Table25[[#This Row],[End Date]]+2-TODAY()</f>
        <v>-45775</v>
      </c>
      <c r="Z403" s="15">
        <f>IF(ISBLANK(Table25[[#This Row],[Roster Received By]]),1,0)</f>
        <v>1</v>
      </c>
      <c r="AA403" s="97">
        <f ca="1">IF(Table25[[#This Row],[Start Date]]&gt;TODAY(),1,)</f>
        <v>0</v>
      </c>
    </row>
    <row r="404" spans="1:27" s="61" customFormat="1" hidden="1" x14ac:dyDescent="0.25">
      <c r="B404" s="96"/>
      <c r="C404" s="97" t="e">
        <v>#N/A</v>
      </c>
      <c r="D404" s="97" t="e">
        <v>#N/A</v>
      </c>
      <c r="E404" s="96"/>
      <c r="F404" s="99"/>
      <c r="G404" s="99"/>
      <c r="H404" s="102"/>
      <c r="I404" s="102"/>
      <c r="J404" s="102"/>
      <c r="K404" s="102"/>
      <c r="L404" s="102"/>
      <c r="M404" s="102"/>
      <c r="N404" s="99"/>
      <c r="O404" s="96"/>
      <c r="P404" s="96"/>
      <c r="Q404" s="15" t="e">
        <v>#N/A</v>
      </c>
      <c r="R404" s="15" t="e">
        <v>#N/A</v>
      </c>
      <c r="S404" s="15"/>
      <c r="T404" s="100"/>
      <c r="U404" s="15"/>
      <c r="V404" s="15"/>
      <c r="W404" s="97"/>
      <c r="X404" s="96"/>
      <c r="Y404" s="106">
        <f ca="1">Table25[[#This Row],[End Date]]+2-TODAY()</f>
        <v>-45775</v>
      </c>
      <c r="Z404" s="15">
        <f>IF(ISBLANK(Table25[[#This Row],[Roster Received By]]),1,0)</f>
        <v>1</v>
      </c>
      <c r="AA404" s="97">
        <f ca="1">IF(Table25[[#This Row],[Start Date]]&gt;TODAY(),1,)</f>
        <v>0</v>
      </c>
    </row>
    <row r="405" spans="1:27" s="61" customFormat="1" hidden="1" x14ac:dyDescent="0.25">
      <c r="B405" s="113"/>
      <c r="C405" s="97" t="e">
        <v>#N/A</v>
      </c>
      <c r="D405" s="97" t="e">
        <v>#N/A</v>
      </c>
      <c r="E405" s="96"/>
      <c r="F405" s="99"/>
      <c r="G405" s="99"/>
      <c r="H405" s="102"/>
      <c r="I405" s="102"/>
      <c r="J405" s="99"/>
      <c r="K405" s="99"/>
      <c r="L405" s="99"/>
      <c r="M405" s="99"/>
      <c r="N405" s="99"/>
      <c r="O405" s="96"/>
      <c r="P405" s="96"/>
      <c r="Q405" s="15" t="e">
        <v>#N/A</v>
      </c>
      <c r="R405" s="15" t="e">
        <v>#N/A</v>
      </c>
      <c r="S405" s="15"/>
      <c r="T405" s="100"/>
      <c r="U405" s="15"/>
      <c r="V405" s="15"/>
      <c r="W405" s="97"/>
      <c r="X405" s="96"/>
      <c r="Y405" s="106">
        <f ca="1">Table25[[#This Row],[End Date]]+2-TODAY()</f>
        <v>-45775</v>
      </c>
      <c r="Z405" s="15">
        <f>IF(ISBLANK(Table25[[#This Row],[Roster Received By]]),1,0)</f>
        <v>1</v>
      </c>
      <c r="AA405" s="97">
        <f ca="1">IF(Table25[[#This Row],[Start Date]]&gt;TODAY(),1,)</f>
        <v>0</v>
      </c>
    </row>
    <row r="406" spans="1:27" s="61" customFormat="1" hidden="1" x14ac:dyDescent="0.25">
      <c r="A406" s="139"/>
      <c r="B406" s="96"/>
      <c r="C406" s="97" t="e">
        <v>#N/A</v>
      </c>
      <c r="D406" s="97" t="e">
        <v>#N/A</v>
      </c>
      <c r="E406" s="96"/>
      <c r="F406" s="99"/>
      <c r="G406" s="99"/>
      <c r="H406" s="102"/>
      <c r="I406" s="102"/>
      <c r="J406" s="99"/>
      <c r="K406" s="99"/>
      <c r="L406" s="99"/>
      <c r="M406" s="99"/>
      <c r="N406" s="99"/>
      <c r="O406" s="96"/>
      <c r="P406" s="96"/>
      <c r="Q406" s="15" t="e">
        <v>#N/A</v>
      </c>
      <c r="R406" s="15" t="e">
        <v>#N/A</v>
      </c>
      <c r="S406" s="100"/>
      <c r="T406" s="100"/>
      <c r="U406" s="15"/>
      <c r="V406" s="15"/>
      <c r="W406" s="97"/>
      <c r="X406" s="96"/>
      <c r="Y406" s="106">
        <f ca="1">Table25[[#This Row],[End Date]]+2-TODAY()</f>
        <v>-45775</v>
      </c>
      <c r="Z406" s="15">
        <f>IF(ISBLANK(Table25[[#This Row],[Roster Received By]]),1,0)</f>
        <v>1</v>
      </c>
      <c r="AA406" s="97">
        <f ca="1">IF(Table25[[#This Row],[Start Date]]&gt;TODAY(),1,)</f>
        <v>0</v>
      </c>
    </row>
    <row r="407" spans="1:27" s="61" customFormat="1" hidden="1" x14ac:dyDescent="0.25">
      <c r="B407" s="96"/>
      <c r="C407" s="97" t="e">
        <v>#N/A</v>
      </c>
      <c r="D407" s="97" t="e">
        <v>#N/A</v>
      </c>
      <c r="E407" s="111"/>
      <c r="F407" s="112"/>
      <c r="G407" s="112"/>
      <c r="H407" s="112"/>
      <c r="I407" s="98"/>
      <c r="J407" s="98"/>
      <c r="K407" s="98"/>
      <c r="L407" s="98"/>
      <c r="M407" s="98"/>
      <c r="N407" s="98"/>
      <c r="O407" s="96"/>
      <c r="P407" s="96"/>
      <c r="Q407" s="15" t="e">
        <v>#N/A</v>
      </c>
      <c r="R407" s="15" t="e">
        <v>#N/A</v>
      </c>
      <c r="S407" s="15"/>
      <c r="T407" s="100"/>
      <c r="U407" s="15"/>
      <c r="V407" s="15"/>
      <c r="W407" s="97"/>
      <c r="X407" s="96"/>
      <c r="Y407" s="106">
        <f ca="1">Table25[[#This Row],[End Date]]+2-TODAY()</f>
        <v>-45775</v>
      </c>
      <c r="Z407" s="15">
        <f>IF(ISBLANK(Table25[[#This Row],[Roster Received By]]),1,0)</f>
        <v>1</v>
      </c>
      <c r="AA407" s="97">
        <f ca="1">IF(Table25[[#This Row],[Start Date]]&gt;TODAY(),1,)</f>
        <v>0</v>
      </c>
    </row>
    <row r="408" spans="1:27" s="61" customFormat="1" hidden="1" x14ac:dyDescent="0.25">
      <c r="B408" s="96"/>
      <c r="C408" s="97" t="e">
        <v>#N/A</v>
      </c>
      <c r="D408" s="97" t="e">
        <v>#N/A</v>
      </c>
      <c r="E408" s="64"/>
      <c r="F408" s="99"/>
      <c r="G408" s="99"/>
      <c r="H408" s="102"/>
      <c r="I408" s="102"/>
      <c r="J408" s="99"/>
      <c r="K408" s="99"/>
      <c r="L408" s="99"/>
      <c r="M408" s="99"/>
      <c r="N408" s="99"/>
      <c r="O408" s="96"/>
      <c r="P408" s="96"/>
      <c r="Q408" s="15" t="e">
        <v>#N/A</v>
      </c>
      <c r="R408" s="15" t="e">
        <v>#N/A</v>
      </c>
      <c r="S408" s="15"/>
      <c r="T408" s="100"/>
      <c r="U408" s="15"/>
      <c r="V408" s="15"/>
      <c r="W408" s="97"/>
      <c r="X408" s="96"/>
      <c r="Y408" s="106">
        <f ca="1">Table25[[#This Row],[End Date]]+2-TODAY()</f>
        <v>-45775</v>
      </c>
      <c r="Z408" s="15">
        <f>IF(ISBLANK(Table25[[#This Row],[Roster Received By]]),1,0)</f>
        <v>1</v>
      </c>
      <c r="AA408" s="97">
        <f ca="1">IF(Table25[[#This Row],[Start Date]]&gt;TODAY(),1,)</f>
        <v>0</v>
      </c>
    </row>
    <row r="409" spans="1:27" s="61" customFormat="1" hidden="1" x14ac:dyDescent="0.25">
      <c r="B409" s="96"/>
      <c r="C409" s="97" t="e">
        <v>#N/A</v>
      </c>
      <c r="D409" s="97" t="e">
        <v>#N/A</v>
      </c>
      <c r="E409" s="113"/>
      <c r="F409" s="107"/>
      <c r="G409" s="107"/>
      <c r="H409" s="102"/>
      <c r="I409" s="102"/>
      <c r="J409" s="99"/>
      <c r="K409" s="99"/>
      <c r="L409" s="99"/>
      <c r="M409" s="99"/>
      <c r="N409" s="99"/>
      <c r="O409" s="96"/>
      <c r="P409" s="96"/>
      <c r="Q409" s="15" t="e">
        <v>#N/A</v>
      </c>
      <c r="R409" s="15" t="e">
        <v>#N/A</v>
      </c>
      <c r="S409" s="15"/>
      <c r="T409" s="100"/>
      <c r="U409" s="15"/>
      <c r="V409" s="15"/>
      <c r="W409" s="97"/>
      <c r="X409" s="96"/>
      <c r="Y409" s="106">
        <f ca="1">Table25[[#This Row],[End Date]]+2-TODAY()</f>
        <v>-45775</v>
      </c>
      <c r="Z409" s="15">
        <f>IF(ISBLANK(Table25[[#This Row],[Roster Received By]]),1,0)</f>
        <v>1</v>
      </c>
      <c r="AA409" s="97">
        <f ca="1">IF(Table25[[#This Row],[Start Date]]&gt;TODAY(),1,)</f>
        <v>0</v>
      </c>
    </row>
    <row r="410" spans="1:27" s="61" customFormat="1" hidden="1" x14ac:dyDescent="0.25">
      <c r="B410" s="96"/>
      <c r="C410" s="97" t="e">
        <v>#N/A</v>
      </c>
      <c r="D410" s="97" t="e">
        <v>#N/A</v>
      </c>
      <c r="E410" s="113"/>
      <c r="F410" s="107"/>
      <c r="G410" s="107"/>
      <c r="H410" s="102"/>
      <c r="I410" s="102"/>
      <c r="J410" s="102"/>
      <c r="K410" s="102"/>
      <c r="L410" s="102"/>
      <c r="M410" s="102"/>
      <c r="N410" s="99"/>
      <c r="O410" s="96"/>
      <c r="P410" s="96"/>
      <c r="Q410" s="15" t="e">
        <v>#N/A</v>
      </c>
      <c r="R410" s="15" t="e">
        <v>#N/A</v>
      </c>
      <c r="S410" s="15"/>
      <c r="T410" s="100"/>
      <c r="U410" s="15"/>
      <c r="V410" s="15"/>
      <c r="W410" s="97"/>
      <c r="X410" s="96"/>
      <c r="Y410" s="106">
        <f ca="1">Table25[[#This Row],[End Date]]+2-TODAY()</f>
        <v>-45775</v>
      </c>
      <c r="Z410" s="15">
        <f>IF(ISBLANK(Table25[[#This Row],[Roster Received By]]),1,0)</f>
        <v>1</v>
      </c>
      <c r="AA410" s="97">
        <f ca="1">IF(Table25[[#This Row],[Start Date]]&gt;TODAY(),1,)</f>
        <v>0</v>
      </c>
    </row>
    <row r="411" spans="1:27" s="61" customFormat="1" hidden="1" x14ac:dyDescent="0.25">
      <c r="B411" s="96"/>
      <c r="C411" s="97" t="e">
        <v>#N/A</v>
      </c>
      <c r="D411" s="97" t="e">
        <v>#N/A</v>
      </c>
      <c r="E411" s="65"/>
      <c r="F411" s="95"/>
      <c r="G411" s="107"/>
      <c r="H411" s="102"/>
      <c r="I411" s="102"/>
      <c r="J411" s="99"/>
      <c r="K411" s="99"/>
      <c r="L411" s="99"/>
      <c r="M411" s="99"/>
      <c r="N411" s="99"/>
      <c r="O411" s="96"/>
      <c r="P411" s="96"/>
      <c r="Q411" s="15" t="e">
        <v>#N/A</v>
      </c>
      <c r="R411" s="15" t="e">
        <v>#N/A</v>
      </c>
      <c r="S411" s="15"/>
      <c r="T411" s="100"/>
      <c r="U411" s="15"/>
      <c r="V411" s="15"/>
      <c r="W411" s="97"/>
      <c r="X411" s="96"/>
      <c r="Y411" s="106">
        <f ca="1">Table25[[#This Row],[End Date]]+2-TODAY()</f>
        <v>-45775</v>
      </c>
      <c r="Z411" s="15">
        <f>IF(ISBLANK(Table25[[#This Row],[Roster Received By]]),1,0)</f>
        <v>1</v>
      </c>
      <c r="AA411" s="97">
        <f ca="1">IF(Table25[[#This Row],[Start Date]]&gt;TODAY(),1,)</f>
        <v>0</v>
      </c>
    </row>
    <row r="412" spans="1:27" s="61" customFormat="1" hidden="1" x14ac:dyDescent="0.25">
      <c r="B412" s="96"/>
      <c r="C412" s="97" t="e">
        <v>#N/A</v>
      </c>
      <c r="D412" s="97" t="e">
        <v>#N/A</v>
      </c>
      <c r="E412" s="119"/>
      <c r="F412" s="107"/>
      <c r="G412" s="107"/>
      <c r="H412" s="99"/>
      <c r="I412" s="98"/>
      <c r="J412" s="98"/>
      <c r="K412" s="98"/>
      <c r="L412" s="98"/>
      <c r="M412" s="98"/>
      <c r="N412" s="98"/>
      <c r="O412" s="96"/>
      <c r="P412" s="96"/>
      <c r="Q412" s="15" t="e">
        <v>#N/A</v>
      </c>
      <c r="R412" s="15" t="e">
        <v>#N/A</v>
      </c>
      <c r="S412" s="15"/>
      <c r="T412" s="100"/>
      <c r="U412" s="15"/>
      <c r="V412" s="15"/>
      <c r="W412" s="97"/>
      <c r="X412" s="96"/>
      <c r="Y412" s="106">
        <f ca="1">Table25[[#This Row],[End Date]]+2-TODAY()</f>
        <v>-45775</v>
      </c>
      <c r="Z412" s="15">
        <f>IF(ISBLANK(Table25[[#This Row],[Roster Received By]]),1,0)</f>
        <v>1</v>
      </c>
      <c r="AA412" s="97">
        <f ca="1">IF(Table25[[#This Row],[Start Date]]&gt;TODAY(),1,)</f>
        <v>0</v>
      </c>
    </row>
    <row r="413" spans="1:27" s="61" customFormat="1" hidden="1" x14ac:dyDescent="0.25">
      <c r="B413" s="96"/>
      <c r="C413" s="97" t="e">
        <v>#N/A</v>
      </c>
      <c r="D413" s="97" t="e">
        <v>#N/A</v>
      </c>
      <c r="E413" s="119"/>
      <c r="F413" s="107"/>
      <c r="G413" s="107"/>
      <c r="H413" s="99"/>
      <c r="I413" s="98"/>
      <c r="J413" s="98"/>
      <c r="K413" s="98"/>
      <c r="L413" s="98"/>
      <c r="M413" s="98"/>
      <c r="N413" s="98"/>
      <c r="O413" s="96"/>
      <c r="P413" s="96"/>
      <c r="Q413" s="15" t="e">
        <v>#N/A</v>
      </c>
      <c r="R413" s="15" t="e">
        <v>#N/A</v>
      </c>
      <c r="S413" s="15"/>
      <c r="T413" s="100"/>
      <c r="U413" s="15"/>
      <c r="V413" s="15"/>
      <c r="W413" s="97"/>
      <c r="X413" s="96"/>
      <c r="Y413" s="106">
        <f ca="1">Table25[[#This Row],[End Date]]+2-TODAY()</f>
        <v>-45775</v>
      </c>
      <c r="Z413" s="15">
        <f>IF(ISBLANK(Table25[[#This Row],[Roster Received By]]),1,0)</f>
        <v>1</v>
      </c>
      <c r="AA413" s="97">
        <f ca="1">IF(Table25[[#This Row],[Start Date]]&gt;TODAY(),1,)</f>
        <v>0</v>
      </c>
    </row>
    <row r="414" spans="1:27" s="61" customFormat="1" hidden="1" x14ac:dyDescent="0.25">
      <c r="B414" s="96"/>
      <c r="C414" s="97" t="e">
        <v>#N/A</v>
      </c>
      <c r="D414" s="97" t="e">
        <v>#N/A</v>
      </c>
      <c r="E414" s="119"/>
      <c r="F414" s="107"/>
      <c r="G414" s="107"/>
      <c r="H414" s="99"/>
      <c r="I414" s="98"/>
      <c r="J414" s="98"/>
      <c r="K414" s="98"/>
      <c r="L414" s="98"/>
      <c r="M414" s="98"/>
      <c r="N414" s="98"/>
      <c r="O414" s="96"/>
      <c r="P414" s="96"/>
      <c r="Q414" s="15" t="e">
        <v>#N/A</v>
      </c>
      <c r="R414" s="15" t="e">
        <v>#N/A</v>
      </c>
      <c r="S414" s="15"/>
      <c r="T414" s="100"/>
      <c r="U414" s="15"/>
      <c r="V414" s="15"/>
      <c r="W414" s="97"/>
      <c r="X414" s="96"/>
      <c r="Y414" s="106">
        <f ca="1">Table25[[#This Row],[End Date]]+2-TODAY()</f>
        <v>-45775</v>
      </c>
      <c r="Z414" s="15">
        <f>IF(ISBLANK(Table25[[#This Row],[Roster Received By]]),1,0)</f>
        <v>1</v>
      </c>
      <c r="AA414" s="97">
        <f ca="1">IF(Table25[[#This Row],[Start Date]]&gt;TODAY(),1,)</f>
        <v>0</v>
      </c>
    </row>
    <row r="415" spans="1:27" s="61" customFormat="1" hidden="1" x14ac:dyDescent="0.25">
      <c r="B415" s="96"/>
      <c r="C415" s="97" t="e">
        <v>#N/A</v>
      </c>
      <c r="D415" s="97" t="e">
        <v>#N/A</v>
      </c>
      <c r="E415" s="119"/>
      <c r="F415" s="99"/>
      <c r="G415" s="99"/>
      <c r="H415" s="99"/>
      <c r="I415" s="98"/>
      <c r="J415" s="98"/>
      <c r="K415" s="98"/>
      <c r="L415" s="98"/>
      <c r="M415" s="98"/>
      <c r="N415" s="98"/>
      <c r="O415" s="96"/>
      <c r="P415" s="96"/>
      <c r="Q415" s="15" t="e">
        <v>#N/A</v>
      </c>
      <c r="R415" s="15" t="e">
        <v>#N/A</v>
      </c>
      <c r="S415" s="15"/>
      <c r="T415" s="100"/>
      <c r="U415" s="15"/>
      <c r="V415" s="15"/>
      <c r="W415" s="97"/>
      <c r="X415" s="96"/>
      <c r="Y415" s="106">
        <f ca="1">Table25[[#This Row],[End Date]]+2-TODAY()</f>
        <v>-45775</v>
      </c>
      <c r="Z415" s="15">
        <f>IF(ISBLANK(Table25[[#This Row],[Roster Received By]]),1,0)</f>
        <v>1</v>
      </c>
      <c r="AA415" s="97">
        <f ca="1">IF(Table25[[#This Row],[Start Date]]&gt;TODAY(),1,)</f>
        <v>0</v>
      </c>
    </row>
    <row r="416" spans="1:27" s="61" customFormat="1" hidden="1" x14ac:dyDescent="0.25">
      <c r="B416" s="96"/>
      <c r="C416" s="97" t="e">
        <v>#N/A</v>
      </c>
      <c r="D416" s="97" t="e">
        <v>#N/A</v>
      </c>
      <c r="E416" s="119"/>
      <c r="F416" s="99"/>
      <c r="G416" s="99"/>
      <c r="H416" s="105"/>
      <c r="I416" s="105"/>
      <c r="J416" s="99"/>
      <c r="K416" s="99"/>
      <c r="L416" s="99"/>
      <c r="M416" s="99"/>
      <c r="N416" s="99"/>
      <c r="O416" s="96"/>
      <c r="P416" s="96"/>
      <c r="Q416" s="15" t="e">
        <v>#N/A</v>
      </c>
      <c r="R416" s="15" t="e">
        <v>#N/A</v>
      </c>
      <c r="S416" s="15"/>
      <c r="T416" s="100"/>
      <c r="U416" s="15"/>
      <c r="V416" s="15"/>
      <c r="W416" s="97"/>
      <c r="X416" s="96"/>
      <c r="Y416" s="106">
        <f ca="1">Table25[[#This Row],[End Date]]+2-TODAY()</f>
        <v>-45775</v>
      </c>
      <c r="Z416" s="15">
        <f>IF(ISBLANK(Table25[[#This Row],[Roster Received By]]),1,0)</f>
        <v>1</v>
      </c>
      <c r="AA416" s="97">
        <f ca="1">IF(Table25[[#This Row],[Start Date]]&gt;TODAY(),1,)</f>
        <v>0</v>
      </c>
    </row>
    <row r="417" spans="1:27" s="61" customFormat="1" hidden="1" x14ac:dyDescent="0.25">
      <c r="A417" s="96"/>
      <c r="B417" s="96"/>
      <c r="C417" s="97" t="e">
        <v>#N/A</v>
      </c>
      <c r="D417" s="97" t="e">
        <v>#N/A</v>
      </c>
      <c r="E417" s="119"/>
      <c r="F417" s="99"/>
      <c r="G417" s="99"/>
      <c r="H417" s="105"/>
      <c r="I417" s="105"/>
      <c r="J417" s="99"/>
      <c r="K417" s="99"/>
      <c r="L417" s="99"/>
      <c r="M417" s="99"/>
      <c r="N417" s="99"/>
      <c r="O417" s="96"/>
      <c r="P417" s="96"/>
      <c r="Q417" s="15" t="e">
        <v>#N/A</v>
      </c>
      <c r="R417" s="15" t="e">
        <v>#N/A</v>
      </c>
      <c r="S417" s="15"/>
      <c r="T417" s="100"/>
      <c r="U417" s="15"/>
      <c r="V417" s="15"/>
      <c r="W417" s="97"/>
      <c r="X417" s="96"/>
      <c r="Y417" s="106">
        <f ca="1">Table25[[#This Row],[End Date]]+2-TODAY()</f>
        <v>-45775</v>
      </c>
      <c r="Z417" s="15">
        <f>IF(ISBLANK(Table25[[#This Row],[Roster Received By]]),1,0)</f>
        <v>1</v>
      </c>
      <c r="AA417" s="97">
        <f ca="1">IF(Table25[[#This Row],[Start Date]]&gt;TODAY(),1,)</f>
        <v>0</v>
      </c>
    </row>
    <row r="418" spans="1:27" s="61" customFormat="1" hidden="1" x14ac:dyDescent="0.25">
      <c r="B418" s="96"/>
      <c r="C418" s="97" t="e">
        <v>#N/A</v>
      </c>
      <c r="D418" s="97" t="e">
        <v>#N/A</v>
      </c>
      <c r="E418" s="119"/>
      <c r="F418" s="99"/>
      <c r="G418" s="99"/>
      <c r="H418" s="99"/>
      <c r="I418" s="98"/>
      <c r="J418" s="98"/>
      <c r="K418" s="98"/>
      <c r="L418" s="98"/>
      <c r="M418" s="98"/>
      <c r="N418" s="98"/>
      <c r="O418" s="96"/>
      <c r="P418" s="96"/>
      <c r="Q418" s="15" t="e">
        <v>#N/A</v>
      </c>
      <c r="R418" s="15" t="e">
        <v>#N/A</v>
      </c>
      <c r="S418" s="15"/>
      <c r="T418" s="100"/>
      <c r="U418" s="15"/>
      <c r="V418" s="15"/>
      <c r="W418" s="97"/>
      <c r="X418" s="96"/>
      <c r="Y418" s="106">
        <f ca="1">Table25[[#This Row],[End Date]]+2-TODAY()</f>
        <v>-45775</v>
      </c>
      <c r="Z418" s="15">
        <f>IF(ISBLANK(Table25[[#This Row],[Roster Received By]]),1,0)</f>
        <v>1</v>
      </c>
      <c r="AA418" s="97">
        <f ca="1">IF(Table25[[#This Row],[Start Date]]&gt;TODAY(),1,)</f>
        <v>0</v>
      </c>
    </row>
    <row r="419" spans="1:27" s="61" customFormat="1" hidden="1" x14ac:dyDescent="0.25">
      <c r="B419" s="96"/>
      <c r="C419" s="97" t="e">
        <v>#N/A</v>
      </c>
      <c r="D419" s="97" t="e">
        <v>#N/A</v>
      </c>
      <c r="E419" s="96"/>
      <c r="F419" s="99"/>
      <c r="G419" s="99"/>
      <c r="H419" s="99"/>
      <c r="I419" s="98"/>
      <c r="J419" s="98"/>
      <c r="K419" s="98"/>
      <c r="L419" s="98"/>
      <c r="M419" s="98"/>
      <c r="N419" s="98"/>
      <c r="O419" s="96"/>
      <c r="P419" s="96"/>
      <c r="Q419" s="15" t="e">
        <v>#N/A</v>
      </c>
      <c r="R419" s="15" t="e">
        <v>#N/A</v>
      </c>
      <c r="S419" s="15"/>
      <c r="T419" s="100"/>
      <c r="U419" s="15"/>
      <c r="V419" s="15"/>
      <c r="W419" s="97"/>
      <c r="X419" s="96"/>
      <c r="Y419" s="106">
        <f ca="1">Table25[[#This Row],[End Date]]+2-TODAY()</f>
        <v>-45775</v>
      </c>
      <c r="Z419" s="15">
        <f>IF(ISBLANK(Table25[[#This Row],[Roster Received By]]),1,0)</f>
        <v>1</v>
      </c>
      <c r="AA419" s="97">
        <f ca="1">IF(Table25[[#This Row],[Start Date]]&gt;TODAY(),1,)</f>
        <v>0</v>
      </c>
    </row>
    <row r="420" spans="1:27" s="61" customFormat="1" hidden="1" x14ac:dyDescent="0.25">
      <c r="B420" s="96"/>
      <c r="C420" s="97" t="e">
        <v>#N/A</v>
      </c>
      <c r="D420" s="97" t="e">
        <v>#N/A</v>
      </c>
      <c r="E420" s="96"/>
      <c r="F420" s="99"/>
      <c r="G420" s="99"/>
      <c r="H420" s="102"/>
      <c r="I420" s="109"/>
      <c r="J420" s="109"/>
      <c r="K420" s="109"/>
      <c r="L420" s="109"/>
      <c r="M420" s="109"/>
      <c r="N420" s="109"/>
      <c r="O420" s="96"/>
      <c r="P420" s="96"/>
      <c r="Q420" s="15" t="e">
        <v>#N/A</v>
      </c>
      <c r="R420" s="15" t="e">
        <v>#N/A</v>
      </c>
      <c r="S420" s="100"/>
      <c r="T420" s="110"/>
      <c r="U420" s="110"/>
      <c r="V420" s="110"/>
      <c r="W420" s="110"/>
      <c r="X420" s="96"/>
      <c r="Y420" s="110"/>
    </row>
    <row r="421" spans="1:27" s="61" customFormat="1" hidden="1" x14ac:dyDescent="0.25">
      <c r="B421" s="96"/>
      <c r="C421" s="97" t="e">
        <v>#N/A</v>
      </c>
      <c r="D421" s="97" t="e">
        <v>#N/A</v>
      </c>
      <c r="E421" s="96"/>
      <c r="F421" s="99"/>
      <c r="G421" s="99"/>
      <c r="H421" s="102"/>
      <c r="I421" s="102"/>
      <c r="J421" s="99"/>
      <c r="K421" s="99"/>
      <c r="L421" s="99"/>
      <c r="M421" s="99"/>
      <c r="N421" s="99"/>
      <c r="O421" s="96"/>
      <c r="P421" s="96"/>
      <c r="Q421" s="15" t="e">
        <v>#N/A</v>
      </c>
      <c r="R421" s="15" t="e">
        <v>#N/A</v>
      </c>
      <c r="S421" s="100"/>
      <c r="T421" s="100"/>
      <c r="U421" s="15"/>
      <c r="V421" s="15"/>
      <c r="W421" s="97"/>
      <c r="X421" s="96"/>
      <c r="Y421" s="106">
        <f ca="1">Table25[[#This Row],[End Date]]+2-TODAY()</f>
        <v>-45775</v>
      </c>
      <c r="Z421" s="15">
        <f>IF(ISBLANK(Table25[[#This Row],[Roster Received By]]),1,0)</f>
        <v>1</v>
      </c>
      <c r="AA421" s="97">
        <f ca="1">IF(Table25[[#This Row],[Start Date]]&gt;TODAY(),1,)</f>
        <v>0</v>
      </c>
    </row>
    <row r="422" spans="1:27" s="61" customFormat="1" hidden="1" x14ac:dyDescent="0.25">
      <c r="B422" s="96"/>
      <c r="C422" s="97" t="e">
        <v>#N/A</v>
      </c>
      <c r="D422" s="97" t="e">
        <v>#N/A</v>
      </c>
      <c r="E422" s="64"/>
      <c r="F422" s="99"/>
      <c r="G422" s="99"/>
      <c r="H422" s="102"/>
      <c r="I422" s="102"/>
      <c r="J422" s="99"/>
      <c r="K422" s="99"/>
      <c r="L422" s="99"/>
      <c r="M422" s="99"/>
      <c r="N422" s="99"/>
      <c r="O422" s="96"/>
      <c r="P422" s="96"/>
      <c r="Q422" s="15" t="e">
        <v>#N/A</v>
      </c>
      <c r="R422" s="15" t="e">
        <v>#N/A</v>
      </c>
      <c r="S422" s="15"/>
      <c r="T422" s="100"/>
      <c r="U422" s="15"/>
      <c r="V422" s="15"/>
      <c r="W422" s="15"/>
      <c r="X422" s="96"/>
      <c r="Y422" s="69">
        <f ca="1">Table25[[#This Row],[End Date]]+2-TODAY()</f>
        <v>-45775</v>
      </c>
      <c r="Z422" s="15">
        <f>IF(ISBLANK(Table25[[#This Row],[Roster Received By]]),1,0)</f>
        <v>1</v>
      </c>
      <c r="AA422" s="15">
        <f ca="1">IF(Table25[[#This Row],[Start Date]]&gt;TODAY(),1,)</f>
        <v>0</v>
      </c>
    </row>
    <row r="423" spans="1:27" s="61" customFormat="1" hidden="1" x14ac:dyDescent="0.25">
      <c r="B423" s="96"/>
      <c r="C423" s="97" t="e">
        <v>#N/A</v>
      </c>
      <c r="D423" s="97" t="e">
        <v>#N/A</v>
      </c>
      <c r="E423" s="96"/>
      <c r="F423" s="99"/>
      <c r="G423" s="99"/>
      <c r="H423" s="102"/>
      <c r="I423" s="102"/>
      <c r="J423" s="99"/>
      <c r="K423" s="99"/>
      <c r="L423" s="99"/>
      <c r="M423" s="99"/>
      <c r="N423" s="99"/>
      <c r="O423" s="96"/>
      <c r="P423" s="96"/>
      <c r="Q423" s="15" t="e">
        <v>#N/A</v>
      </c>
      <c r="R423" s="15" t="e">
        <v>#N/A</v>
      </c>
      <c r="S423" s="15"/>
      <c r="T423" s="100"/>
      <c r="U423" s="15"/>
      <c r="V423" s="15"/>
      <c r="W423" s="97"/>
      <c r="X423" s="96"/>
      <c r="Y423" s="106">
        <f ca="1">Table25[[#This Row],[End Date]]+2-TODAY()</f>
        <v>-45775</v>
      </c>
      <c r="Z423" s="15">
        <f>IF(ISBLANK(Table25[[#This Row],[Roster Received By]]),1,0)</f>
        <v>1</v>
      </c>
      <c r="AA423" s="97">
        <f ca="1">IF(Table25[[#This Row],[Start Date]]&gt;TODAY(),1,)</f>
        <v>0</v>
      </c>
    </row>
    <row r="424" spans="1:27" s="61" customFormat="1" hidden="1" x14ac:dyDescent="0.25">
      <c r="B424" s="96"/>
      <c r="C424" s="97" t="e">
        <v>#N/A</v>
      </c>
      <c r="D424" s="97" t="e">
        <v>#N/A</v>
      </c>
      <c r="E424" s="64"/>
      <c r="F424" s="99"/>
      <c r="G424" s="99"/>
      <c r="H424" s="102"/>
      <c r="I424" s="102"/>
      <c r="J424" s="99"/>
      <c r="K424" s="99"/>
      <c r="L424" s="99"/>
      <c r="M424" s="99"/>
      <c r="N424" s="99"/>
      <c r="O424" s="96"/>
      <c r="P424" s="96"/>
      <c r="Q424" s="15" t="e">
        <v>#N/A</v>
      </c>
      <c r="R424" s="15" t="e">
        <v>#N/A</v>
      </c>
      <c r="S424" s="15"/>
      <c r="T424" s="100"/>
      <c r="U424" s="15"/>
      <c r="V424" s="15"/>
      <c r="W424" s="97"/>
      <c r="X424" s="96"/>
      <c r="Y424" s="106">
        <f ca="1">Table25[[#This Row],[End Date]]+2-TODAY()</f>
        <v>-45775</v>
      </c>
      <c r="Z424" s="15">
        <f>IF(ISBLANK(Table25[[#This Row],[Roster Received By]]),1,0)</f>
        <v>1</v>
      </c>
      <c r="AA424" s="97">
        <f ca="1">IF(Table25[[#This Row],[Start Date]]&gt;TODAY(),1,)</f>
        <v>0</v>
      </c>
    </row>
    <row r="425" spans="1:27" s="61" customFormat="1" hidden="1" x14ac:dyDescent="0.25">
      <c r="B425" s="96"/>
      <c r="C425" s="97" t="e">
        <v>#N/A</v>
      </c>
      <c r="D425" s="97" t="e">
        <v>#N/A</v>
      </c>
      <c r="E425" s="96"/>
      <c r="F425" s="99"/>
      <c r="G425" s="99"/>
      <c r="H425" s="102"/>
      <c r="I425" s="102"/>
      <c r="J425" s="99"/>
      <c r="K425" s="99"/>
      <c r="L425" s="99"/>
      <c r="M425" s="99"/>
      <c r="N425" s="99"/>
      <c r="O425" s="96"/>
      <c r="P425" s="96"/>
      <c r="Q425" s="15" t="e">
        <v>#N/A</v>
      </c>
      <c r="R425" s="15" t="e">
        <v>#N/A</v>
      </c>
      <c r="S425" s="15"/>
      <c r="T425" s="100"/>
      <c r="U425" s="15"/>
      <c r="V425" s="15"/>
      <c r="W425" s="15"/>
      <c r="X425" s="96"/>
      <c r="Y425" s="106">
        <f ca="1">Table25[[#This Row],[End Date]]+2-TODAY()</f>
        <v>-45775</v>
      </c>
      <c r="Z425" s="15">
        <f>IF(ISBLANK(Table25[[#This Row],[Roster Received By]]),1,0)</f>
        <v>1</v>
      </c>
      <c r="AA425" s="97">
        <f ca="1">IF(Table25[[#This Row],[Start Date]]&gt;TODAY(),1,)</f>
        <v>0</v>
      </c>
    </row>
    <row r="426" spans="1:27" s="61" customFormat="1" hidden="1" x14ac:dyDescent="0.25">
      <c r="A426" s="96"/>
      <c r="B426" s="96"/>
      <c r="C426" s="97" t="e">
        <v>#N/A</v>
      </c>
      <c r="D426" s="97" t="e">
        <v>#N/A</v>
      </c>
      <c r="E426" s="96"/>
      <c r="F426" s="99"/>
      <c r="G426" s="99"/>
      <c r="H426" s="102"/>
      <c r="I426" s="102"/>
      <c r="J426" s="99"/>
      <c r="K426" s="99"/>
      <c r="L426" s="99"/>
      <c r="M426" s="99"/>
      <c r="N426" s="99"/>
      <c r="O426" s="96"/>
      <c r="P426" s="96"/>
      <c r="Q426" s="15" t="e">
        <v>#N/A</v>
      </c>
      <c r="R426" s="15" t="e">
        <v>#N/A</v>
      </c>
      <c r="S426" s="15"/>
      <c r="T426" s="100"/>
      <c r="U426" s="15"/>
      <c r="V426" s="15"/>
      <c r="W426" s="97"/>
      <c r="X426" s="96"/>
      <c r="Y426" s="106">
        <f ca="1">Table25[[#This Row],[End Date]]+2-TODAY()</f>
        <v>-45775</v>
      </c>
      <c r="Z426" s="15">
        <f>IF(ISBLANK(Table25[[#This Row],[Roster Received By]]),1,0)</f>
        <v>1</v>
      </c>
      <c r="AA426" s="97">
        <f ca="1">IF(Table25[[#This Row],[Start Date]]&gt;TODAY(),1,)</f>
        <v>0</v>
      </c>
    </row>
    <row r="427" spans="1:27" s="61" customFormat="1" hidden="1" x14ac:dyDescent="0.25">
      <c r="B427" s="96"/>
      <c r="C427" s="97" t="e">
        <v>#N/A</v>
      </c>
      <c r="D427" s="97" t="e">
        <v>#N/A</v>
      </c>
      <c r="E427" s="96"/>
      <c r="F427" s="99"/>
      <c r="G427" s="99"/>
      <c r="H427" s="102"/>
      <c r="I427" s="102"/>
      <c r="J427" s="99"/>
      <c r="K427" s="99"/>
      <c r="L427" s="99"/>
      <c r="M427" s="99"/>
      <c r="N427" s="99"/>
      <c r="O427" s="96"/>
      <c r="P427" s="96"/>
      <c r="Q427" s="15" t="e">
        <v>#N/A</v>
      </c>
      <c r="R427" s="15" t="e">
        <v>#N/A</v>
      </c>
      <c r="S427" s="15"/>
      <c r="T427" s="100"/>
      <c r="U427" s="15"/>
      <c r="V427" s="15"/>
      <c r="W427" s="97"/>
      <c r="X427" s="96"/>
      <c r="Y427" s="106">
        <f ca="1">Table25[[#This Row],[End Date]]+2-TODAY()</f>
        <v>-45775</v>
      </c>
      <c r="Z427" s="15">
        <f>IF(ISBLANK(Table25[[#This Row],[Roster Received By]]),1,0)</f>
        <v>1</v>
      </c>
      <c r="AA427" s="97">
        <f ca="1">IF(Table25[[#This Row],[Start Date]]&gt;TODAY(),1,)</f>
        <v>0</v>
      </c>
    </row>
    <row r="428" spans="1:27" s="61" customFormat="1" hidden="1" x14ac:dyDescent="0.25">
      <c r="B428" s="96"/>
      <c r="C428" s="97" t="e">
        <v>#N/A</v>
      </c>
      <c r="D428" s="97" t="e">
        <v>#N/A</v>
      </c>
      <c r="E428" s="96"/>
      <c r="F428" s="99"/>
      <c r="G428" s="99"/>
      <c r="H428" s="102"/>
      <c r="I428" s="102"/>
      <c r="J428" s="99"/>
      <c r="K428" s="99"/>
      <c r="L428" s="99"/>
      <c r="M428" s="99"/>
      <c r="N428" s="99"/>
      <c r="O428" s="96"/>
      <c r="P428" s="96"/>
      <c r="Q428" s="15" t="e">
        <v>#N/A</v>
      </c>
      <c r="R428" s="15" t="e">
        <v>#N/A</v>
      </c>
      <c r="S428" s="100"/>
      <c r="T428" s="100"/>
      <c r="U428" s="15"/>
      <c r="V428" s="15"/>
      <c r="W428" s="15"/>
      <c r="X428" s="96"/>
      <c r="Y428" s="69">
        <f ca="1">Table25[[#This Row],[End Date]]+2-TODAY()</f>
        <v>-45775</v>
      </c>
      <c r="Z428" s="15">
        <f>IF(ISBLANK(Table25[[#This Row],[Roster Received By]]),1,0)</f>
        <v>1</v>
      </c>
      <c r="AA428" s="15">
        <f ca="1">IF(Table25[[#This Row],[Start Date]]&gt;TODAY(),1,)</f>
        <v>0</v>
      </c>
    </row>
    <row r="429" spans="1:27" s="61" customFormat="1" hidden="1" x14ac:dyDescent="0.25">
      <c r="B429" s="96"/>
      <c r="C429" s="97" t="e">
        <v>#N/A</v>
      </c>
      <c r="D429" s="97" t="e">
        <v>#N/A</v>
      </c>
      <c r="E429" s="64"/>
      <c r="F429" s="99"/>
      <c r="G429" s="99"/>
      <c r="H429" s="102"/>
      <c r="I429" s="102"/>
      <c r="J429" s="99"/>
      <c r="K429" s="99"/>
      <c r="L429" s="99"/>
      <c r="M429" s="99"/>
      <c r="N429" s="99"/>
      <c r="O429" s="96"/>
      <c r="P429" s="96"/>
      <c r="Q429" s="15" t="e">
        <v>#N/A</v>
      </c>
      <c r="R429" s="15" t="e">
        <v>#N/A</v>
      </c>
      <c r="S429" s="15"/>
      <c r="T429" s="100"/>
      <c r="U429" s="15"/>
      <c r="V429" s="15"/>
      <c r="W429" s="97"/>
      <c r="X429" s="96"/>
      <c r="Y429" s="106">
        <f ca="1">Table25[[#This Row],[End Date]]+2-TODAY()</f>
        <v>-45775</v>
      </c>
      <c r="Z429" s="15">
        <f>IF(ISBLANK(Table25[[#This Row],[Roster Received By]]),1,0)</f>
        <v>1</v>
      </c>
      <c r="AA429" s="97">
        <f ca="1">IF(Table25[[#This Row],[Start Date]]&gt;TODAY(),1,)</f>
        <v>0</v>
      </c>
    </row>
    <row r="430" spans="1:27" s="61" customFormat="1" hidden="1" x14ac:dyDescent="0.25">
      <c r="B430" s="96"/>
      <c r="C430" s="97" t="e">
        <v>#N/A</v>
      </c>
      <c r="D430" s="97" t="e">
        <v>#N/A</v>
      </c>
      <c r="E430" s="96"/>
      <c r="F430" s="99"/>
      <c r="G430" s="99"/>
      <c r="H430" s="99"/>
      <c r="I430" s="98"/>
      <c r="J430" s="98"/>
      <c r="K430" s="98"/>
      <c r="L430" s="98"/>
      <c r="M430" s="98"/>
      <c r="N430" s="98"/>
      <c r="O430" s="96"/>
      <c r="P430" s="96"/>
      <c r="Q430" s="15" t="e">
        <v>#N/A</v>
      </c>
      <c r="R430" s="15" t="e">
        <v>#N/A</v>
      </c>
      <c r="S430" s="15"/>
      <c r="T430" s="100"/>
      <c r="U430" s="15"/>
      <c r="V430" s="15"/>
      <c r="W430" s="97"/>
      <c r="X430" s="96"/>
      <c r="Y430" s="106">
        <f ca="1">Table25[[#This Row],[End Date]]+2-TODAY()</f>
        <v>-45775</v>
      </c>
      <c r="Z430" s="15">
        <f>IF(ISBLANK(Table25[[#This Row],[Roster Received By]]),1,0)</f>
        <v>1</v>
      </c>
      <c r="AA430" s="97">
        <f ca="1">IF(Table25[[#This Row],[Start Date]]&gt;TODAY(),1,)</f>
        <v>0</v>
      </c>
    </row>
    <row r="431" spans="1:27" s="61" customFormat="1" hidden="1" x14ac:dyDescent="0.25">
      <c r="A431" s="96"/>
      <c r="B431" s="96"/>
      <c r="C431" s="97" t="e">
        <v>#N/A</v>
      </c>
      <c r="D431" s="97" t="e">
        <v>#N/A</v>
      </c>
      <c r="E431" s="96"/>
      <c r="F431" s="99"/>
      <c r="G431" s="99"/>
      <c r="H431" s="102"/>
      <c r="I431" s="102"/>
      <c r="J431" s="99"/>
      <c r="K431" s="99"/>
      <c r="L431" s="99"/>
      <c r="M431" s="99"/>
      <c r="N431" s="99"/>
      <c r="O431" s="96"/>
      <c r="P431" s="96"/>
      <c r="Q431" s="15" t="e">
        <v>#N/A</v>
      </c>
      <c r="R431" s="15" t="e">
        <v>#N/A</v>
      </c>
      <c r="S431" s="15"/>
      <c r="T431" s="100"/>
      <c r="U431" s="15"/>
      <c r="V431" s="15"/>
      <c r="W431" s="97"/>
      <c r="X431" s="96"/>
      <c r="Y431" s="106">
        <f ca="1">Table25[[#This Row],[End Date]]+2-TODAY()</f>
        <v>-45775</v>
      </c>
      <c r="Z431" s="15">
        <f>IF(ISBLANK(Table25[[#This Row],[Roster Received By]]),1,0)</f>
        <v>1</v>
      </c>
      <c r="AA431" s="97">
        <f ca="1">IF(Table25[[#This Row],[Start Date]]&gt;TODAY(),1,)</f>
        <v>0</v>
      </c>
    </row>
    <row r="432" spans="1:27" s="61" customFormat="1" hidden="1" x14ac:dyDescent="0.25">
      <c r="A432" s="96"/>
      <c r="B432" s="96"/>
      <c r="C432" s="97" t="e">
        <v>#N/A</v>
      </c>
      <c r="D432" s="97" t="e">
        <v>#N/A</v>
      </c>
      <c r="E432" s="64"/>
      <c r="F432" s="99"/>
      <c r="G432" s="99"/>
      <c r="H432" s="102"/>
      <c r="I432" s="102"/>
      <c r="J432" s="99"/>
      <c r="K432" s="99"/>
      <c r="L432" s="99"/>
      <c r="M432" s="99"/>
      <c r="N432" s="99"/>
      <c r="O432" s="96"/>
      <c r="P432" s="96"/>
      <c r="Q432" s="15" t="e">
        <v>#N/A</v>
      </c>
      <c r="R432" s="15" t="e">
        <v>#N/A</v>
      </c>
      <c r="S432" s="15"/>
      <c r="T432" s="100"/>
      <c r="U432" s="15"/>
      <c r="V432" s="15"/>
      <c r="W432" s="97"/>
      <c r="X432" s="96"/>
      <c r="Y432" s="106">
        <f ca="1">Table25[[#This Row],[End Date]]+2-TODAY()</f>
        <v>-45775</v>
      </c>
      <c r="Z432" s="15">
        <f>IF(ISBLANK(Table25[[#This Row],[Roster Received By]]),1,0)</f>
        <v>1</v>
      </c>
      <c r="AA432" s="97">
        <f ca="1">IF(Table25[[#This Row],[Start Date]]&gt;TODAY(),1,)</f>
        <v>0</v>
      </c>
    </row>
    <row r="433" spans="1:27" s="61" customFormat="1" hidden="1" x14ac:dyDescent="0.25">
      <c r="B433" s="96"/>
      <c r="C433" s="97" t="e">
        <v>#N/A</v>
      </c>
      <c r="D433" s="97" t="e">
        <v>#N/A</v>
      </c>
      <c r="E433" s="96"/>
      <c r="F433" s="99"/>
      <c r="G433" s="99"/>
      <c r="H433" s="99"/>
      <c r="I433" s="98"/>
      <c r="J433" s="98"/>
      <c r="K433" s="98"/>
      <c r="L433" s="98"/>
      <c r="M433" s="98"/>
      <c r="N433" s="98"/>
      <c r="O433" s="96"/>
      <c r="P433" s="96"/>
      <c r="Q433" s="15" t="e">
        <v>#N/A</v>
      </c>
      <c r="R433" s="15" t="e">
        <v>#N/A</v>
      </c>
      <c r="S433" s="15"/>
      <c r="T433" s="100"/>
      <c r="U433" s="15"/>
      <c r="V433" s="15"/>
      <c r="W433" s="97"/>
      <c r="X433" s="96"/>
      <c r="Y433" s="106">
        <f ca="1">Table25[[#This Row],[End Date]]+2-TODAY()</f>
        <v>-45775</v>
      </c>
      <c r="Z433" s="15">
        <f>IF(ISBLANK(Table25[[#This Row],[Roster Received By]]),1,0)</f>
        <v>1</v>
      </c>
      <c r="AA433" s="97">
        <f ca="1">IF(Table25[[#This Row],[Start Date]]&gt;TODAY(),1,)</f>
        <v>0</v>
      </c>
    </row>
    <row r="434" spans="1:27" s="61" customFormat="1" hidden="1" x14ac:dyDescent="0.25">
      <c r="B434" s="96"/>
      <c r="C434" s="97" t="e">
        <v>#N/A</v>
      </c>
      <c r="D434" s="97" t="e">
        <v>#N/A</v>
      </c>
      <c r="E434" s="64"/>
      <c r="F434" s="99"/>
      <c r="G434" s="99"/>
      <c r="H434" s="102"/>
      <c r="I434" s="102"/>
      <c r="J434" s="99"/>
      <c r="K434" s="99"/>
      <c r="L434" s="99"/>
      <c r="M434" s="99"/>
      <c r="N434" s="99"/>
      <c r="O434" s="96"/>
      <c r="P434" s="96"/>
      <c r="Q434" s="15" t="e">
        <v>#N/A</v>
      </c>
      <c r="R434" s="15" t="e">
        <v>#N/A</v>
      </c>
      <c r="S434" s="15"/>
      <c r="T434" s="100"/>
      <c r="U434" s="15"/>
      <c r="V434" s="15"/>
      <c r="W434" s="97"/>
      <c r="X434" s="96"/>
      <c r="Y434" s="106">
        <f ca="1">Table25[[#This Row],[End Date]]+2-TODAY()</f>
        <v>-45775</v>
      </c>
      <c r="Z434" s="15">
        <f>IF(ISBLANK(Table25[[#This Row],[Roster Received By]]),1,0)</f>
        <v>1</v>
      </c>
      <c r="AA434" s="97">
        <f ca="1">IF(Table25[[#This Row],[Start Date]]&gt;TODAY(),1,)</f>
        <v>0</v>
      </c>
    </row>
    <row r="435" spans="1:27" s="61" customFormat="1" hidden="1" x14ac:dyDescent="0.25">
      <c r="B435" s="96"/>
      <c r="C435" s="97" t="e">
        <v>#N/A</v>
      </c>
      <c r="D435" s="97" t="e">
        <v>#N/A</v>
      </c>
      <c r="E435" s="64"/>
      <c r="F435" s="99"/>
      <c r="G435" s="99"/>
      <c r="H435" s="102"/>
      <c r="I435" s="102"/>
      <c r="J435" s="99"/>
      <c r="K435" s="99"/>
      <c r="L435" s="99"/>
      <c r="M435" s="99"/>
      <c r="N435" s="99"/>
      <c r="O435" s="96"/>
      <c r="P435" s="96"/>
      <c r="Q435" s="15" t="e">
        <v>#N/A</v>
      </c>
      <c r="R435" s="15" t="e">
        <v>#N/A</v>
      </c>
      <c r="S435" s="15"/>
      <c r="T435" s="100"/>
      <c r="U435" s="15"/>
      <c r="V435" s="15"/>
      <c r="W435" s="15"/>
      <c r="X435" s="96"/>
      <c r="Y435" s="69">
        <f ca="1">Table25[[#This Row],[End Date]]+2-TODAY()</f>
        <v>-45775</v>
      </c>
      <c r="Z435" s="15">
        <f>IF(ISBLANK(Table25[[#This Row],[Roster Received By]]),1,0)</f>
        <v>1</v>
      </c>
      <c r="AA435" s="15">
        <f ca="1">IF(Table25[[#This Row],[Start Date]]&gt;TODAY(),1,)</f>
        <v>0</v>
      </c>
    </row>
    <row r="436" spans="1:27" s="61" customFormat="1" hidden="1" x14ac:dyDescent="0.25">
      <c r="B436" s="96"/>
      <c r="C436" s="97" t="e">
        <v>#N/A</v>
      </c>
      <c r="D436" s="97" t="e">
        <v>#N/A</v>
      </c>
      <c r="E436" s="96"/>
      <c r="F436" s="99"/>
      <c r="G436" s="99"/>
      <c r="H436" s="102"/>
      <c r="I436" s="102"/>
      <c r="J436" s="99"/>
      <c r="K436" s="99"/>
      <c r="L436" s="99"/>
      <c r="M436" s="99"/>
      <c r="N436" s="99"/>
      <c r="O436" s="96"/>
      <c r="P436" s="96"/>
      <c r="Q436" s="15" t="e">
        <v>#N/A</v>
      </c>
      <c r="R436" s="15" t="e">
        <v>#N/A</v>
      </c>
      <c r="S436" s="15"/>
      <c r="T436" s="100"/>
      <c r="U436" s="15"/>
      <c r="V436" s="15"/>
      <c r="W436" s="15"/>
      <c r="X436" s="96"/>
      <c r="Y436" s="69">
        <f ca="1">Table25[[#This Row],[End Date]]+2-TODAY()</f>
        <v>-45775</v>
      </c>
      <c r="Z436" s="15">
        <f>IF(ISBLANK(Table25[[#This Row],[Roster Received By]]),1,0)</f>
        <v>1</v>
      </c>
      <c r="AA436" s="15">
        <f ca="1">IF(Table25[[#This Row],[Start Date]]&gt;TODAY(),1,)</f>
        <v>0</v>
      </c>
    </row>
    <row r="437" spans="1:27" s="61" customFormat="1" hidden="1" x14ac:dyDescent="0.25">
      <c r="B437" s="96"/>
      <c r="C437" s="97" t="e">
        <v>#N/A</v>
      </c>
      <c r="D437" s="97" t="e">
        <v>#N/A</v>
      </c>
      <c r="E437" s="96"/>
      <c r="F437" s="99"/>
      <c r="G437" s="99"/>
      <c r="H437" s="102"/>
      <c r="I437" s="102"/>
      <c r="J437" s="99"/>
      <c r="K437" s="99"/>
      <c r="L437" s="99"/>
      <c r="M437" s="99"/>
      <c r="N437" s="99"/>
      <c r="O437" s="96"/>
      <c r="P437" s="96"/>
      <c r="Q437" s="15" t="e">
        <v>#N/A</v>
      </c>
      <c r="R437" s="15" t="e">
        <v>#N/A</v>
      </c>
      <c r="S437" s="100"/>
      <c r="T437" s="100"/>
      <c r="U437" s="15"/>
      <c r="V437" s="15"/>
      <c r="W437" s="97"/>
      <c r="X437" s="96"/>
      <c r="Y437" s="106">
        <f ca="1">Table25[[#This Row],[End Date]]+2-TODAY()</f>
        <v>-45775</v>
      </c>
      <c r="Z437" s="15">
        <f>IF(ISBLANK(Table25[[#This Row],[Roster Received By]]),1,0)</f>
        <v>1</v>
      </c>
      <c r="AA437" s="97">
        <f ca="1">IF(Table25[[#This Row],[Start Date]]&gt;TODAY(),1,)</f>
        <v>0</v>
      </c>
    </row>
    <row r="438" spans="1:27" s="61" customFormat="1" hidden="1" x14ac:dyDescent="0.25">
      <c r="B438" s="113"/>
      <c r="C438" s="97" t="e">
        <v>#N/A</v>
      </c>
      <c r="D438" s="97" t="e">
        <v>#N/A</v>
      </c>
      <c r="E438" s="96"/>
      <c r="F438" s="66"/>
      <c r="G438" s="99"/>
      <c r="H438" s="99"/>
      <c r="I438" s="98"/>
      <c r="J438" s="98"/>
      <c r="K438" s="98"/>
      <c r="L438" s="98"/>
      <c r="M438" s="98"/>
      <c r="N438" s="98"/>
      <c r="O438" s="96"/>
      <c r="P438" s="96"/>
      <c r="Q438" s="15" t="e">
        <v>#N/A</v>
      </c>
      <c r="R438" s="15" t="e">
        <v>#N/A</v>
      </c>
      <c r="S438" s="15"/>
      <c r="T438" s="100"/>
      <c r="U438" s="15"/>
      <c r="V438" s="15"/>
      <c r="W438" s="97"/>
      <c r="X438" s="96"/>
      <c r="Y438" s="106">
        <f ca="1">Table25[[#This Row],[End Date]]+2-TODAY()</f>
        <v>-45775</v>
      </c>
      <c r="Z438" s="15">
        <f>IF(ISBLANK(Table25[[#This Row],[Roster Received By]]),1,0)</f>
        <v>1</v>
      </c>
      <c r="AA438" s="97">
        <f ca="1">IF(Table25[[#This Row],[Start Date]]&gt;TODAY(),1,)</f>
        <v>0</v>
      </c>
    </row>
    <row r="439" spans="1:27" s="61" customFormat="1" hidden="1" x14ac:dyDescent="0.25">
      <c r="A439" s="96"/>
      <c r="B439" s="113"/>
      <c r="C439" s="97" t="e">
        <v>#N/A</v>
      </c>
      <c r="D439" s="97" t="e">
        <v>#N/A</v>
      </c>
      <c r="E439" s="96"/>
      <c r="F439" s="99"/>
      <c r="G439" s="99"/>
      <c r="H439" s="102"/>
      <c r="I439" s="102"/>
      <c r="J439" s="99"/>
      <c r="K439" s="99"/>
      <c r="L439" s="99"/>
      <c r="M439" s="99"/>
      <c r="N439" s="99"/>
      <c r="O439" s="96"/>
      <c r="P439" s="96"/>
      <c r="Q439" s="15" t="e">
        <v>#N/A</v>
      </c>
      <c r="R439" s="15" t="e">
        <v>#N/A</v>
      </c>
      <c r="S439" s="15"/>
      <c r="T439" s="100"/>
      <c r="U439" s="15"/>
      <c r="V439" s="15"/>
      <c r="W439" s="97"/>
      <c r="X439" s="96"/>
      <c r="Y439" s="106">
        <f ca="1">Table25[[#This Row],[End Date]]+2-TODAY()</f>
        <v>-45775</v>
      </c>
      <c r="Z439" s="15">
        <f>IF(ISBLANK(Table25[[#This Row],[Roster Received By]]),1,0)</f>
        <v>1</v>
      </c>
      <c r="AA439" s="97">
        <f ca="1">IF(Table25[[#This Row],[Start Date]]&gt;TODAY(),1,)</f>
        <v>0</v>
      </c>
    </row>
    <row r="440" spans="1:27" s="61" customFormat="1" hidden="1" x14ac:dyDescent="0.25">
      <c r="B440" s="113"/>
      <c r="C440" s="97" t="e">
        <v>#N/A</v>
      </c>
      <c r="D440" s="97" t="e">
        <v>#N/A</v>
      </c>
      <c r="E440" s="96"/>
      <c r="F440" s="99"/>
      <c r="G440" s="99"/>
      <c r="H440" s="102"/>
      <c r="I440" s="102"/>
      <c r="J440" s="99"/>
      <c r="K440" s="99"/>
      <c r="L440" s="99"/>
      <c r="M440" s="99"/>
      <c r="N440" s="99"/>
      <c r="O440" s="96"/>
      <c r="P440" s="96"/>
      <c r="Q440" s="15" t="e">
        <v>#N/A</v>
      </c>
      <c r="R440" s="15" t="e">
        <v>#N/A</v>
      </c>
      <c r="S440" s="100"/>
      <c r="T440" s="100"/>
      <c r="U440" s="15"/>
      <c r="V440" s="15"/>
      <c r="W440" s="97"/>
      <c r="X440" s="96"/>
      <c r="Y440" s="106">
        <f ca="1">Table25[[#This Row],[End Date]]+2-TODAY()</f>
        <v>-45775</v>
      </c>
      <c r="Z440" s="15">
        <f>IF(ISBLANK(Table25[[#This Row],[Roster Received By]]),1,0)</f>
        <v>1</v>
      </c>
      <c r="AA440" s="97">
        <f ca="1">IF(Table25[[#This Row],[Start Date]]&gt;TODAY(),1,)</f>
        <v>0</v>
      </c>
    </row>
    <row r="441" spans="1:27" s="61" customFormat="1" hidden="1" x14ac:dyDescent="0.25">
      <c r="B441" s="96"/>
      <c r="C441" s="97" t="e">
        <v>#N/A</v>
      </c>
      <c r="D441" s="97" t="e">
        <v>#N/A</v>
      </c>
      <c r="E441" s="96"/>
      <c r="F441" s="99"/>
      <c r="G441" s="99"/>
      <c r="H441" s="99"/>
      <c r="I441" s="98"/>
      <c r="J441" s="98"/>
      <c r="K441" s="98"/>
      <c r="L441" s="98"/>
      <c r="M441" s="98"/>
      <c r="N441" s="98"/>
      <c r="O441" s="96"/>
      <c r="P441" s="96"/>
      <c r="Q441" s="15" t="e">
        <v>#N/A</v>
      </c>
      <c r="R441" s="15" t="e">
        <v>#N/A</v>
      </c>
      <c r="S441" s="15"/>
      <c r="T441" s="100"/>
      <c r="U441" s="15"/>
      <c r="V441" s="15"/>
      <c r="W441" s="97"/>
      <c r="X441" s="96"/>
      <c r="Y441" s="106">
        <f ca="1">Table25[[#This Row],[End Date]]+2-TODAY()</f>
        <v>-45775</v>
      </c>
      <c r="Z441" s="15">
        <f>IF(ISBLANK(Table25[[#This Row],[Roster Received By]]),1,0)</f>
        <v>1</v>
      </c>
      <c r="AA441" s="97">
        <f ca="1">IF(Table25[[#This Row],[Start Date]]&gt;TODAY(),1,)</f>
        <v>0</v>
      </c>
    </row>
    <row r="442" spans="1:27" s="61" customFormat="1" hidden="1" x14ac:dyDescent="0.25">
      <c r="B442" s="113"/>
      <c r="C442" s="97" t="e">
        <v>#N/A</v>
      </c>
      <c r="D442" s="97" t="e">
        <v>#N/A</v>
      </c>
      <c r="E442" s="96"/>
      <c r="F442" s="99"/>
      <c r="G442" s="99"/>
      <c r="H442" s="99"/>
      <c r="I442" s="98"/>
      <c r="J442" s="98"/>
      <c r="K442" s="98"/>
      <c r="L442" s="98"/>
      <c r="M442" s="98"/>
      <c r="N442" s="98"/>
      <c r="O442" s="96"/>
      <c r="P442" s="96"/>
      <c r="Q442" s="15" t="e">
        <v>#N/A</v>
      </c>
      <c r="R442" s="15" t="e">
        <v>#N/A</v>
      </c>
      <c r="S442" s="15"/>
      <c r="T442" s="100"/>
      <c r="U442" s="15"/>
      <c r="V442" s="15"/>
      <c r="W442" s="97"/>
      <c r="X442" s="96"/>
      <c r="Y442" s="106">
        <f ca="1">Table25[[#This Row],[End Date]]+2-TODAY()</f>
        <v>-45775</v>
      </c>
      <c r="Z442" s="15">
        <f>IF(ISBLANK(Table25[[#This Row],[Roster Received By]]),1,0)</f>
        <v>1</v>
      </c>
      <c r="AA442" s="97">
        <f ca="1">IF(Table25[[#This Row],[Start Date]]&gt;TODAY(),1,)</f>
        <v>0</v>
      </c>
    </row>
    <row r="443" spans="1:27" s="61" customFormat="1" hidden="1" x14ac:dyDescent="0.25">
      <c r="B443" s="96"/>
      <c r="C443" s="97" t="e">
        <v>#N/A</v>
      </c>
      <c r="D443" s="97" t="e">
        <v>#N/A</v>
      </c>
      <c r="E443" s="96"/>
      <c r="F443" s="99"/>
      <c r="G443" s="99"/>
      <c r="H443" s="102"/>
      <c r="I443" s="102"/>
      <c r="J443" s="99"/>
      <c r="K443" s="99"/>
      <c r="L443" s="99"/>
      <c r="M443" s="99"/>
      <c r="N443" s="99"/>
      <c r="O443" s="96"/>
      <c r="P443" s="96"/>
      <c r="Q443" s="15" t="e">
        <v>#N/A</v>
      </c>
      <c r="R443" s="15" t="e">
        <v>#N/A</v>
      </c>
      <c r="S443" s="15"/>
      <c r="T443" s="100"/>
      <c r="U443" s="15"/>
      <c r="V443" s="15"/>
      <c r="W443" s="15"/>
      <c r="X443" s="96"/>
      <c r="Y443" s="69">
        <f ca="1">Table25[[#This Row],[End Date]]+2-TODAY()</f>
        <v>-45775</v>
      </c>
      <c r="Z443" s="15">
        <f>IF(ISBLANK(Table25[[#This Row],[Roster Received By]]),1,0)</f>
        <v>1</v>
      </c>
      <c r="AA443" s="15">
        <f ca="1">IF(Table25[[#This Row],[Start Date]]&gt;TODAY(),1,)</f>
        <v>0</v>
      </c>
    </row>
    <row r="444" spans="1:27" s="61" customFormat="1" hidden="1" x14ac:dyDescent="0.25">
      <c r="A444" s="96"/>
      <c r="B444" s="113"/>
      <c r="C444" s="97" t="e">
        <v>#N/A</v>
      </c>
      <c r="D444" s="97" t="e">
        <v>#N/A</v>
      </c>
      <c r="E444" s="96"/>
      <c r="F444" s="66"/>
      <c r="G444" s="66"/>
      <c r="H444" s="66"/>
      <c r="I444" s="98"/>
      <c r="J444" s="98"/>
      <c r="K444" s="98"/>
      <c r="L444" s="98"/>
      <c r="M444" s="98"/>
      <c r="N444" s="98"/>
      <c r="O444" s="96"/>
      <c r="P444" s="96"/>
      <c r="Q444" s="15" t="e">
        <v>#N/A</v>
      </c>
      <c r="R444" s="15" t="e">
        <v>#N/A</v>
      </c>
      <c r="S444" s="15"/>
      <c r="T444" s="100"/>
      <c r="U444" s="15"/>
      <c r="V444" s="15"/>
      <c r="W444" s="97"/>
      <c r="X444" s="96"/>
      <c r="Y444" s="106">
        <f ca="1">Table25[[#This Row],[End Date]]+2-TODAY()</f>
        <v>-45775</v>
      </c>
      <c r="Z444" s="15">
        <f>IF(ISBLANK(Table25[[#This Row],[Roster Received By]]),1,0)</f>
        <v>1</v>
      </c>
      <c r="AA444" s="97">
        <f ca="1">IF(Table25[[#This Row],[Start Date]]&gt;TODAY(),1,)</f>
        <v>0</v>
      </c>
    </row>
    <row r="445" spans="1:27" s="61" customFormat="1" hidden="1" x14ac:dyDescent="0.25">
      <c r="B445" s="96"/>
      <c r="C445" s="97" t="e">
        <v>#N/A</v>
      </c>
      <c r="D445" s="97" t="e">
        <v>#N/A</v>
      </c>
      <c r="E445" s="96"/>
      <c r="F445" s="99"/>
      <c r="G445" s="99"/>
      <c r="H445" s="99"/>
      <c r="I445" s="98"/>
      <c r="J445" s="98"/>
      <c r="K445" s="98"/>
      <c r="L445" s="98"/>
      <c r="M445" s="98"/>
      <c r="N445" s="98"/>
      <c r="O445" s="96"/>
      <c r="P445" s="96"/>
      <c r="Q445" s="15" t="e">
        <v>#N/A</v>
      </c>
      <c r="R445" s="15" t="e">
        <v>#N/A</v>
      </c>
      <c r="S445" s="15"/>
      <c r="T445" s="100"/>
      <c r="U445" s="15"/>
      <c r="V445" s="15"/>
      <c r="W445" s="97"/>
      <c r="X445" s="96"/>
      <c r="Y445" s="106">
        <f ca="1">Table25[[#This Row],[End Date]]+2-TODAY()</f>
        <v>-45775</v>
      </c>
      <c r="Z445" s="15">
        <f>IF(ISBLANK(Table25[[#This Row],[Roster Received By]]),1,0)</f>
        <v>1</v>
      </c>
      <c r="AA445" s="97">
        <f ca="1">IF(Table25[[#This Row],[Start Date]]&gt;TODAY(),1,)</f>
        <v>0</v>
      </c>
    </row>
    <row r="446" spans="1:27" s="61" customFormat="1" hidden="1" x14ac:dyDescent="0.25">
      <c r="B446" s="96"/>
      <c r="C446" s="97" t="e">
        <v>#N/A</v>
      </c>
      <c r="D446" s="97" t="e">
        <v>#N/A</v>
      </c>
      <c r="E446" s="96"/>
      <c r="F446" s="99"/>
      <c r="G446" s="99"/>
      <c r="H446" s="99"/>
      <c r="I446" s="98"/>
      <c r="J446" s="98"/>
      <c r="K446" s="98"/>
      <c r="L446" s="98"/>
      <c r="M446" s="98"/>
      <c r="N446" s="98"/>
      <c r="O446" s="96"/>
      <c r="P446" s="96"/>
      <c r="Q446" s="15" t="e">
        <v>#N/A</v>
      </c>
      <c r="R446" s="15" t="e">
        <v>#N/A</v>
      </c>
      <c r="S446" s="15"/>
      <c r="T446" s="100"/>
      <c r="U446" s="15"/>
      <c r="V446" s="15"/>
      <c r="W446" s="97"/>
      <c r="X446" s="96"/>
      <c r="Y446" s="106">
        <f ca="1">Table25[[#This Row],[End Date]]+2-TODAY()</f>
        <v>-45775</v>
      </c>
      <c r="Z446" s="15">
        <f>IF(ISBLANK(Table25[[#This Row],[Roster Received By]]),1,0)</f>
        <v>1</v>
      </c>
      <c r="AA446" s="97">
        <f ca="1">IF(Table25[[#This Row],[Start Date]]&gt;TODAY(),1,)</f>
        <v>0</v>
      </c>
    </row>
    <row r="447" spans="1:27" s="61" customFormat="1" hidden="1" x14ac:dyDescent="0.25">
      <c r="B447" s="96"/>
      <c r="C447" s="97" t="e">
        <v>#N/A</v>
      </c>
      <c r="D447" s="97" t="e">
        <v>#N/A</v>
      </c>
      <c r="E447" s="96"/>
      <c r="F447" s="99"/>
      <c r="G447" s="99"/>
      <c r="H447" s="99"/>
      <c r="I447" s="98"/>
      <c r="J447" s="98"/>
      <c r="K447" s="98"/>
      <c r="L447" s="98"/>
      <c r="M447" s="98"/>
      <c r="N447" s="98"/>
      <c r="O447" s="96"/>
      <c r="P447" s="96"/>
      <c r="Q447" s="15" t="e">
        <v>#N/A</v>
      </c>
      <c r="R447" s="15" t="e">
        <v>#N/A</v>
      </c>
      <c r="S447" s="15"/>
      <c r="T447" s="100"/>
      <c r="U447" s="15"/>
      <c r="V447" s="15"/>
      <c r="W447" s="97"/>
      <c r="X447" s="96"/>
      <c r="Y447" s="106">
        <f ca="1">Table25[[#This Row],[End Date]]+2-TODAY()</f>
        <v>-45775</v>
      </c>
      <c r="Z447" s="15">
        <f>IF(ISBLANK(Table25[[#This Row],[Roster Received By]]),1,0)</f>
        <v>1</v>
      </c>
      <c r="AA447" s="97">
        <f ca="1">IF(Table25[[#This Row],[Start Date]]&gt;TODAY(),1,)</f>
        <v>0</v>
      </c>
    </row>
    <row r="448" spans="1:27" s="61" customFormat="1" hidden="1" x14ac:dyDescent="0.25">
      <c r="A448" s="139"/>
      <c r="B448" s="96"/>
      <c r="C448" s="97" t="e">
        <v>#N/A</v>
      </c>
      <c r="D448" s="97" t="e">
        <v>#N/A</v>
      </c>
      <c r="E448" s="96"/>
      <c r="F448" s="99"/>
      <c r="G448" s="99"/>
      <c r="H448" s="102"/>
      <c r="I448" s="102"/>
      <c r="J448" s="99"/>
      <c r="K448" s="99"/>
      <c r="L448" s="99"/>
      <c r="M448" s="99"/>
      <c r="N448" s="99"/>
      <c r="O448" s="96"/>
      <c r="P448" s="96"/>
      <c r="Q448" s="15" t="e">
        <v>#N/A</v>
      </c>
      <c r="R448" s="15" t="e">
        <v>#N/A</v>
      </c>
      <c r="S448" s="100"/>
      <c r="T448" s="100"/>
      <c r="U448" s="15"/>
      <c r="V448" s="15"/>
      <c r="W448" s="97"/>
      <c r="X448" s="96"/>
      <c r="Y448" s="106">
        <f ca="1">Table25[[#This Row],[End Date]]+2-TODAY()</f>
        <v>-45775</v>
      </c>
      <c r="Z448" s="15">
        <f>IF(ISBLANK(Table25[[#This Row],[Roster Received By]]),1,0)</f>
        <v>1</v>
      </c>
      <c r="AA448" s="97">
        <f ca="1">IF(Table25[[#This Row],[Start Date]]&gt;TODAY(),1,)</f>
        <v>0</v>
      </c>
    </row>
    <row r="449" spans="1:27" s="61" customFormat="1" hidden="1" x14ac:dyDescent="0.25">
      <c r="B449" s="96"/>
      <c r="C449" s="97" t="e">
        <v>#N/A</v>
      </c>
      <c r="D449" s="97" t="e">
        <v>#N/A</v>
      </c>
      <c r="E449" s="96"/>
      <c r="F449" s="99"/>
      <c r="G449" s="99"/>
      <c r="H449" s="99"/>
      <c r="I449" s="98"/>
      <c r="J449" s="98"/>
      <c r="K449" s="98"/>
      <c r="L449" s="98"/>
      <c r="M449" s="98"/>
      <c r="N449" s="98"/>
      <c r="O449" s="96"/>
      <c r="P449" s="96"/>
      <c r="Q449" s="15" t="e">
        <v>#N/A</v>
      </c>
      <c r="R449" s="15" t="e">
        <v>#N/A</v>
      </c>
      <c r="S449" s="15"/>
      <c r="T449" s="100"/>
      <c r="U449" s="15"/>
      <c r="V449" s="15"/>
      <c r="W449" s="97"/>
      <c r="X449" s="96"/>
      <c r="Y449" s="106">
        <f ca="1">Table25[[#This Row],[End Date]]+2-TODAY()</f>
        <v>-45775</v>
      </c>
      <c r="Z449" s="15">
        <f>IF(ISBLANK(Table25[[#This Row],[Roster Received By]]),1,0)</f>
        <v>1</v>
      </c>
      <c r="AA449" s="97">
        <f ca="1">IF(Table25[[#This Row],[Start Date]]&gt;TODAY(),1,)</f>
        <v>0</v>
      </c>
    </row>
    <row r="450" spans="1:27" s="61" customFormat="1" hidden="1" x14ac:dyDescent="0.25">
      <c r="A450" s="96"/>
      <c r="B450" s="96"/>
      <c r="C450" s="97" t="e">
        <v>#N/A</v>
      </c>
      <c r="D450" s="97" t="e">
        <v>#N/A</v>
      </c>
      <c r="E450" s="96"/>
      <c r="F450" s="99"/>
      <c r="G450" s="99"/>
      <c r="H450" s="99"/>
      <c r="I450" s="98"/>
      <c r="J450" s="98"/>
      <c r="K450" s="98"/>
      <c r="L450" s="98"/>
      <c r="M450" s="98"/>
      <c r="N450" s="98"/>
      <c r="O450" s="96"/>
      <c r="P450" s="96"/>
      <c r="Q450" s="15" t="e">
        <v>#N/A</v>
      </c>
      <c r="R450" s="15" t="e">
        <v>#N/A</v>
      </c>
      <c r="S450" s="15"/>
      <c r="T450" s="100"/>
      <c r="U450" s="15"/>
      <c r="V450" s="15"/>
      <c r="W450" s="97"/>
      <c r="X450" s="96"/>
      <c r="Y450" s="106">
        <f ca="1">Table25[[#This Row],[End Date]]+2-TODAY()</f>
        <v>-45775</v>
      </c>
      <c r="Z450" s="15">
        <f>IF(ISBLANK(Table25[[#This Row],[Roster Received By]]),1,0)</f>
        <v>1</v>
      </c>
      <c r="AA450" s="97">
        <f ca="1">IF(Table25[[#This Row],[Start Date]]&gt;TODAY(),1,)</f>
        <v>0</v>
      </c>
    </row>
    <row r="451" spans="1:27" s="61" customFormat="1" hidden="1" x14ac:dyDescent="0.25">
      <c r="B451" s="96"/>
      <c r="C451" s="97" t="e">
        <v>#N/A</v>
      </c>
      <c r="D451" s="97" t="e">
        <v>#N/A</v>
      </c>
      <c r="E451" s="96"/>
      <c r="F451" s="99"/>
      <c r="G451" s="99"/>
      <c r="H451" s="102"/>
      <c r="I451" s="102"/>
      <c r="J451" s="99"/>
      <c r="K451" s="99"/>
      <c r="L451" s="99"/>
      <c r="M451" s="99"/>
      <c r="N451" s="99"/>
      <c r="O451" s="96"/>
      <c r="P451" s="96"/>
      <c r="Q451" s="15" t="e">
        <v>#N/A</v>
      </c>
      <c r="R451" s="15" t="e">
        <v>#N/A</v>
      </c>
      <c r="S451" s="100"/>
      <c r="T451" s="100"/>
      <c r="U451" s="15"/>
      <c r="V451" s="15"/>
      <c r="W451" s="97"/>
      <c r="X451" s="96"/>
      <c r="Y451" s="106">
        <f ca="1">Table25[[#This Row],[End Date]]+2-TODAY()</f>
        <v>-45775</v>
      </c>
      <c r="Z451" s="15">
        <f>IF(ISBLANK(Table25[[#This Row],[Roster Received By]]),1,0)</f>
        <v>1</v>
      </c>
      <c r="AA451" s="97">
        <f ca="1">IF(Table25[[#This Row],[Start Date]]&gt;TODAY(),1,)</f>
        <v>0</v>
      </c>
    </row>
    <row r="452" spans="1:27" s="61" customFormat="1" hidden="1" x14ac:dyDescent="0.25">
      <c r="B452" s="96"/>
      <c r="C452" s="97" t="e">
        <v>#N/A</v>
      </c>
      <c r="D452" s="97" t="e">
        <v>#N/A</v>
      </c>
      <c r="E452" s="96"/>
      <c r="F452" s="99"/>
      <c r="G452" s="99"/>
      <c r="H452" s="102"/>
      <c r="I452" s="102"/>
      <c r="J452" s="99"/>
      <c r="K452" s="99"/>
      <c r="L452" s="99"/>
      <c r="M452" s="99"/>
      <c r="N452" s="99"/>
      <c r="O452" s="96"/>
      <c r="P452" s="96"/>
      <c r="Q452" s="15" t="e">
        <v>#N/A</v>
      </c>
      <c r="R452" s="15" t="e">
        <v>#N/A</v>
      </c>
      <c r="S452" s="15"/>
      <c r="T452" s="100"/>
      <c r="U452" s="15"/>
      <c r="V452" s="15"/>
      <c r="W452" s="97"/>
      <c r="X452" s="96"/>
      <c r="Y452" s="106">
        <f ca="1">Table25[[#This Row],[End Date]]+2-TODAY()</f>
        <v>-45775</v>
      </c>
      <c r="Z452" s="15">
        <f>IF(ISBLANK(Table25[[#This Row],[Roster Received By]]),1,0)</f>
        <v>1</v>
      </c>
      <c r="AA452" s="97">
        <f ca="1">IF(Table25[[#This Row],[Start Date]]&gt;TODAY(),1,)</f>
        <v>0</v>
      </c>
    </row>
    <row r="453" spans="1:27" s="61" customFormat="1" hidden="1" x14ac:dyDescent="0.25">
      <c r="B453" s="96"/>
      <c r="C453" s="97" t="e">
        <v>#N/A</v>
      </c>
      <c r="D453" s="97" t="e">
        <v>#N/A</v>
      </c>
      <c r="E453" s="96"/>
      <c r="F453" s="99"/>
      <c r="G453" s="99"/>
      <c r="H453" s="102"/>
      <c r="I453" s="102"/>
      <c r="J453" s="99"/>
      <c r="K453" s="99"/>
      <c r="L453" s="99"/>
      <c r="M453" s="99"/>
      <c r="N453" s="99"/>
      <c r="O453" s="96"/>
      <c r="P453" s="96"/>
      <c r="Q453" s="15" t="e">
        <v>#N/A</v>
      </c>
      <c r="R453" s="15" t="e">
        <v>#N/A</v>
      </c>
      <c r="S453" s="100"/>
      <c r="T453" s="100"/>
      <c r="U453" s="15"/>
      <c r="V453" s="15"/>
      <c r="W453" s="97"/>
      <c r="X453" s="96"/>
      <c r="Y453" s="106">
        <f ca="1">Table25[[#This Row],[End Date]]+2-TODAY()</f>
        <v>-45775</v>
      </c>
      <c r="Z453" s="15">
        <f>IF(ISBLANK(Table25[[#This Row],[Roster Received By]]),1,0)</f>
        <v>1</v>
      </c>
      <c r="AA453" s="97">
        <f ca="1">IF(Table25[[#This Row],[Start Date]]&gt;TODAY(),1,)</f>
        <v>0</v>
      </c>
    </row>
    <row r="454" spans="1:27" s="61" customFormat="1" hidden="1" x14ac:dyDescent="0.25">
      <c r="B454" s="96"/>
      <c r="C454" s="97" t="e">
        <v>#N/A</v>
      </c>
      <c r="D454" s="97" t="e">
        <v>#N/A</v>
      </c>
      <c r="E454" s="96"/>
      <c r="F454" s="99"/>
      <c r="G454" s="99"/>
      <c r="H454" s="102"/>
      <c r="I454" s="102"/>
      <c r="J454" s="99"/>
      <c r="K454" s="99"/>
      <c r="L454" s="99"/>
      <c r="M454" s="99"/>
      <c r="N454" s="99"/>
      <c r="O454" s="96"/>
      <c r="P454" s="96"/>
      <c r="Q454" s="15" t="e">
        <v>#N/A</v>
      </c>
      <c r="R454" s="15" t="e">
        <v>#N/A</v>
      </c>
      <c r="S454" s="15"/>
      <c r="T454" s="100"/>
      <c r="U454" s="15"/>
      <c r="V454" s="15"/>
      <c r="W454" s="15"/>
      <c r="X454" s="96"/>
      <c r="Y454" s="69">
        <f ca="1">Table25[[#This Row],[End Date]]+2-TODAY()</f>
        <v>-45775</v>
      </c>
      <c r="Z454" s="15">
        <f>IF(ISBLANK(Table25[[#This Row],[Roster Received By]]),1,0)</f>
        <v>1</v>
      </c>
      <c r="AA454" s="15">
        <f ca="1">IF(Table25[[#This Row],[Start Date]]&gt;TODAY(),1,)</f>
        <v>0</v>
      </c>
    </row>
    <row r="455" spans="1:27" s="61" customFormat="1" hidden="1" x14ac:dyDescent="0.25">
      <c r="B455" s="96"/>
      <c r="C455" s="97" t="e">
        <v>#N/A</v>
      </c>
      <c r="D455" s="97" t="e">
        <v>#N/A</v>
      </c>
      <c r="E455" s="96"/>
      <c r="F455" s="99"/>
      <c r="G455" s="99"/>
      <c r="H455" s="102"/>
      <c r="I455" s="102"/>
      <c r="J455" s="99"/>
      <c r="K455" s="99"/>
      <c r="L455" s="99"/>
      <c r="M455" s="99"/>
      <c r="N455" s="99"/>
      <c r="O455" s="96"/>
      <c r="P455" s="96"/>
      <c r="Q455" s="15" t="e">
        <v>#N/A</v>
      </c>
      <c r="R455" s="15" t="e">
        <v>#N/A</v>
      </c>
      <c r="S455" s="15"/>
      <c r="T455" s="100"/>
      <c r="U455" s="15"/>
      <c r="V455" s="15"/>
      <c r="W455" s="97"/>
      <c r="X455" s="96"/>
      <c r="Y455" s="106">
        <f ca="1">Table25[[#This Row],[End Date]]+2-TODAY()</f>
        <v>-45775</v>
      </c>
      <c r="Z455" s="15">
        <f>IF(ISBLANK(Table25[[#This Row],[Roster Received By]]),1,0)</f>
        <v>1</v>
      </c>
      <c r="AA455" s="97">
        <f ca="1">IF(Table25[[#This Row],[Start Date]]&gt;TODAY(),1,)</f>
        <v>0</v>
      </c>
    </row>
    <row r="456" spans="1:27" s="61" customFormat="1" hidden="1" x14ac:dyDescent="0.25">
      <c r="B456" s="96"/>
      <c r="C456" s="97" t="e">
        <v>#N/A</v>
      </c>
      <c r="D456" s="97" t="e">
        <v>#N/A</v>
      </c>
      <c r="E456" s="64"/>
      <c r="F456" s="99"/>
      <c r="G456" s="99"/>
      <c r="H456" s="102"/>
      <c r="I456" s="102"/>
      <c r="J456" s="99"/>
      <c r="K456" s="99"/>
      <c r="L456" s="99"/>
      <c r="M456" s="99"/>
      <c r="N456" s="99"/>
      <c r="O456" s="96"/>
      <c r="P456" s="96"/>
      <c r="Q456" s="15" t="e">
        <v>#N/A</v>
      </c>
      <c r="R456" s="15" t="e">
        <v>#N/A</v>
      </c>
      <c r="S456" s="15"/>
      <c r="T456" s="100"/>
      <c r="U456" s="15"/>
      <c r="V456" s="15"/>
      <c r="W456" s="97"/>
      <c r="X456" s="96"/>
      <c r="Y456" s="106">
        <f ca="1">Table25[[#This Row],[End Date]]+2-TODAY()</f>
        <v>-45775</v>
      </c>
      <c r="Z456" s="15">
        <f>IF(ISBLANK(Table25[[#This Row],[Roster Received By]]),1,0)</f>
        <v>1</v>
      </c>
      <c r="AA456" s="97">
        <f ca="1">IF(Table25[[#This Row],[Start Date]]&gt;TODAY(),1,)</f>
        <v>0</v>
      </c>
    </row>
    <row r="457" spans="1:27" s="61" customFormat="1" hidden="1" x14ac:dyDescent="0.25">
      <c r="B457" s="96"/>
      <c r="C457" s="97" t="e">
        <v>#N/A</v>
      </c>
      <c r="D457" s="97" t="e">
        <v>#N/A</v>
      </c>
      <c r="E457" s="96"/>
      <c r="F457" s="99"/>
      <c r="G457" s="99"/>
      <c r="H457" s="102"/>
      <c r="I457" s="102"/>
      <c r="J457" s="99"/>
      <c r="K457" s="99"/>
      <c r="L457" s="99"/>
      <c r="M457" s="99"/>
      <c r="N457" s="99"/>
      <c r="O457" s="96"/>
      <c r="P457" s="96"/>
      <c r="Q457" s="15" t="e">
        <v>#N/A</v>
      </c>
      <c r="R457" s="15" t="e">
        <v>#N/A</v>
      </c>
      <c r="S457" s="100"/>
      <c r="T457" s="100"/>
      <c r="U457" s="15"/>
      <c r="V457" s="15"/>
      <c r="W457" s="97"/>
      <c r="X457" s="96"/>
      <c r="Y457" s="106">
        <f ca="1">Table25[[#This Row],[End Date]]+2-TODAY()</f>
        <v>-45775</v>
      </c>
      <c r="Z457" s="15">
        <f>IF(ISBLANK(Table25[[#This Row],[Roster Received By]]),1,0)</f>
        <v>1</v>
      </c>
      <c r="AA457" s="97">
        <f ca="1">IF(Table25[[#This Row],[Start Date]]&gt;TODAY(),1,)</f>
        <v>0</v>
      </c>
    </row>
    <row r="458" spans="1:27" s="61" customFormat="1" ht="15.75" hidden="1" thickBot="1" x14ac:dyDescent="0.3">
      <c r="A458" s="140"/>
      <c r="B458" s="140"/>
      <c r="C458" s="141" t="e">
        <v>#N/A</v>
      </c>
      <c r="D458" s="141" t="e">
        <v>#N/A</v>
      </c>
      <c r="E458" s="96"/>
      <c r="F458" s="99"/>
      <c r="G458" s="99"/>
      <c r="H458" s="102"/>
      <c r="I458" s="102"/>
      <c r="J458" s="142"/>
      <c r="K458" s="142"/>
      <c r="L458" s="142"/>
      <c r="M458" s="142"/>
      <c r="N458" s="142"/>
      <c r="O458" s="96"/>
      <c r="P458" s="96"/>
      <c r="Q458" s="15" t="e">
        <v>#N/A</v>
      </c>
      <c r="R458" s="15" t="e">
        <v>#N/A</v>
      </c>
      <c r="S458" s="143"/>
      <c r="T458" s="100"/>
      <c r="U458" s="15"/>
      <c r="V458" s="15"/>
      <c r="W458" s="15"/>
      <c r="X458" s="96"/>
      <c r="Y458" s="69">
        <f ca="1">Table25[[#This Row],[End Date]]+2-TODAY()</f>
        <v>-45775</v>
      </c>
      <c r="Z458" s="15">
        <f>IF(ISBLANK(Table25[[#This Row],[Roster Received By]]),1,0)</f>
        <v>1</v>
      </c>
      <c r="AA458" s="15">
        <f ca="1">IF(Table25[[#This Row],[Start Date]]&gt;TODAY(),1,)</f>
        <v>0</v>
      </c>
    </row>
    <row r="459" spans="1:27" x14ac:dyDescent="0.25">
      <c r="A459" s="165" t="s">
        <v>62</v>
      </c>
      <c r="B459" s="165">
        <f>SUBTOTAL(103,Table25[Course Title])</f>
        <v>27</v>
      </c>
      <c r="C459" s="165"/>
      <c r="D459" s="165"/>
      <c r="E459" s="165"/>
      <c r="F459" s="166"/>
      <c r="G459" s="166"/>
      <c r="H459" s="165"/>
      <c r="I459" s="165"/>
      <c r="J459" s="165"/>
      <c r="K459" s="165"/>
      <c r="L459" s="165"/>
      <c r="M459" s="165"/>
      <c r="N459" s="165"/>
      <c r="O459" s="165"/>
      <c r="P459" s="165"/>
      <c r="Q459" s="167">
        <f>SUBTOTAL(109,Q4:Q458)</f>
        <v>810</v>
      </c>
      <c r="R459" s="167">
        <f>SUBTOTAL(109,Table25[Course Length (Days)])</f>
        <v>135</v>
      </c>
      <c r="S459" s="167">
        <f>SUBTOTAL(109,S4:S458)</f>
        <v>0</v>
      </c>
      <c r="T459" s="167">
        <f t="shared" ref="T459:W459" si="0">SUBTOTAL(109,T4:T458)</f>
        <v>0</v>
      </c>
      <c r="U459" s="167">
        <f t="shared" si="0"/>
        <v>0</v>
      </c>
      <c r="V459" s="167">
        <f t="shared" si="0"/>
        <v>0</v>
      </c>
      <c r="W459" s="167">
        <f t="shared" si="0"/>
        <v>0</v>
      </c>
      <c r="X459" s="165">
        <f>SUBTOTAL(103,Table25[Roster Received By])</f>
        <v>0</v>
      </c>
      <c r="Y459" s="168"/>
      <c r="Z459" s="165"/>
      <c r="AA459" s="165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13:D181 C4:D112" name="CIN CDP_1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4">
    <cfRule type="expression" dxfId="1221" priority="27">
      <formula>$T14="McQueen, Jennifer"</formula>
    </cfRule>
    <cfRule type="expression" dxfId="1220" priority="25">
      <formula>$T14="Benzick, Sue"</formula>
    </cfRule>
    <cfRule type="expression" dxfId="1219" priority="26">
      <formula>$T14="Jenne, Richard"</formula>
    </cfRule>
  </conditionalFormatting>
  <conditionalFormatting sqref="A5:B8 A9:A10 A34:A35 A36:B36 A37 A38:B39 J39:N44 A41:A43 F41:G44 A44:B54 E45:G45 F46:G46 E47:G48 F49:G50 J51:N51 F51:F52 E53:F53 J53:N53 E54:H54 A55:A57 E58 E59:F63 A59:A67 F64 E65:F66 A69:A71 B70 J75:N75 A76:A77 B86 A86:A87 A110:B110 A114 A124:A128 A130:A136 A138:A140 J142:N142 A142:A150 J144:N145 E147:E151 J149:N149 B150:B151 A152:A171 B153:B155 B157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218" priority="212">
      <formula>$T5="Jenne, Richard"</formula>
    </cfRule>
    <cfRule type="expression" dxfId="1217" priority="213">
      <formula>$T5="McQueen, Jennifer"</formula>
    </cfRule>
    <cfRule type="expression" dxfId="1216" priority="211">
      <formula>$T5="Benzick, Sue"</formula>
    </cfRule>
  </conditionalFormatting>
  <conditionalFormatting sqref="A182:B182">
    <cfRule type="expression" dxfId="1215" priority="43">
      <formula>$T182="Benzick, Sue"</formula>
    </cfRule>
    <cfRule type="expression" dxfId="1214" priority="44">
      <formula>$T182="Jenne, Richard"</formula>
    </cfRule>
    <cfRule type="expression" dxfId="1213" priority="45">
      <formula>$T182="McQueen, Jennifer"</formula>
    </cfRule>
  </conditionalFormatting>
  <conditionalFormatting sqref="B95">
    <cfRule type="expression" dxfId="1212" priority="22">
      <formula>$T95="Benzick, Sue"</formula>
    </cfRule>
    <cfRule type="expression" dxfId="1211" priority="23">
      <formula>$T95="Jenne, Richard"</formula>
    </cfRule>
    <cfRule type="expression" dxfId="1210" priority="24">
      <formula>$T95="McQueen, Jennifer"</formula>
    </cfRule>
  </conditionalFormatting>
  <conditionalFormatting sqref="E154">
    <cfRule type="expression" dxfId="1209" priority="52">
      <formula>#REF!="Benzick, Sue"</formula>
    </cfRule>
    <cfRule type="expression" dxfId="1208" priority="53">
      <formula>#REF!="Jenne, Richard"</formula>
    </cfRule>
    <cfRule type="expression" dxfId="1207" priority="54">
      <formula>#REF!="McQueen, Jennifer"</formula>
    </cfRule>
  </conditionalFormatting>
  <conditionalFormatting sqref="E95:F95 F96">
    <cfRule type="expression" dxfId="1206" priority="19">
      <formula>$R95="Benzick, Sue"</formula>
    </cfRule>
    <cfRule type="expression" dxfId="1205" priority="20">
      <formula>$R95="Jenne, Richard"</formula>
    </cfRule>
    <cfRule type="expression" dxfId="1204" priority="21">
      <formula>$R95="McQueen, Jennifer"</formula>
    </cfRule>
  </conditionalFormatting>
  <conditionalFormatting sqref="E98:F98">
    <cfRule type="expression" dxfId="1203" priority="17">
      <formula>$R98="Jenne, Richard"</formula>
    </cfRule>
    <cfRule type="expression" dxfId="1202" priority="18">
      <formula>$R98="McQueen, Jennifer"</formula>
    </cfRule>
    <cfRule type="expression" dxfId="1201" priority="16">
      <formula>$R98="Benzick, Sue"</formula>
    </cfRule>
  </conditionalFormatting>
  <conditionalFormatting sqref="E113:G115 E116:H116 F117:G117">
    <cfRule type="expression" dxfId="1200" priority="200">
      <formula>#REF!="Jenne, Richard"</formula>
    </cfRule>
    <cfRule type="expression" dxfId="1199" priority="199">
      <formula>#REF!="Benzick, Sue"</formula>
    </cfRule>
    <cfRule type="expression" dxfId="1198" priority="201">
      <formula>#REF!="McQueen, Jennifer"</formula>
    </cfRule>
  </conditionalFormatting>
  <conditionalFormatting sqref="E121:G122">
    <cfRule type="expression" dxfId="1197" priority="178">
      <formula>#REF!="Benzick, Sue"</formula>
    </cfRule>
    <cfRule type="expression" dxfId="1196" priority="179">
      <formula>#REF!="Jenne, Richard"</formula>
    </cfRule>
    <cfRule type="expression" dxfId="1195" priority="180">
      <formula>#REF!="McQueen, Jennifer"</formula>
    </cfRule>
  </conditionalFormatting>
  <conditionalFormatting sqref="E199:G199 H219:I219 H220 H221:I226 I234 H235:I236 H239:I245 H255:I256 H258:I258 H274:I274 H275 H276:I280 H288:I288">
    <cfRule type="expression" dxfId="1194" priority="189">
      <formula>#REF!="McQueen, Jennifer"</formula>
    </cfRule>
    <cfRule type="expression" dxfId="1193" priority="188">
      <formula>#REF!="Jenne, Richard"</formula>
    </cfRule>
    <cfRule type="expression" dxfId="1192" priority="187">
      <formula>#REF!="Benzick, Sue"</formula>
    </cfRule>
  </conditionalFormatting>
  <conditionalFormatting sqref="E213:G217">
    <cfRule type="expression" dxfId="1191" priority="166">
      <formula>#REF!="Benzick, Sue"</formula>
    </cfRule>
    <cfRule type="expression" dxfId="1190" priority="167">
      <formula>#REF!="Jenne, Richard"</formula>
    </cfRule>
    <cfRule type="expression" dxfId="1189" priority="168">
      <formula>#REF!="McQueen, Jennifer"</formula>
    </cfRule>
  </conditionalFormatting>
  <conditionalFormatting sqref="E445:G445 E458:G458">
    <cfRule type="expression" dxfId="1188" priority="156">
      <formula>#REF!="McQueen, Jennifer"</formula>
    </cfRule>
    <cfRule type="expression" dxfId="1187" priority="154">
      <formula>#REF!="Benzick, Sue"</formula>
    </cfRule>
    <cfRule type="expression" dxfId="1186" priority="155">
      <formula>#REF!="Jenne, Richard"</formula>
    </cfRule>
  </conditionalFormatting>
  <conditionalFormatting sqref="E119:H120">
    <cfRule type="expression" dxfId="1185" priority="197">
      <formula>#REF!="Jenne, Richard"</formula>
    </cfRule>
    <cfRule type="expression" dxfId="1184" priority="196">
      <formula>#REF!="Benzick, Sue"</formula>
    </cfRule>
    <cfRule type="expression" dxfId="1183" priority="198">
      <formula>#REF!="McQueen, Jennifer"</formula>
    </cfRule>
  </conditionalFormatting>
  <conditionalFormatting sqref="E123:H124 E125:G125">
    <cfRule type="expression" dxfId="1182" priority="181">
      <formula>#REF!="Benzick, Sue"</formula>
    </cfRule>
    <cfRule type="expression" dxfId="1181" priority="182">
      <formula>#REF!="Jenne, Richard"</formula>
    </cfRule>
    <cfRule type="expression" dxfId="1180" priority="183">
      <formula>#REF!="McQueen, Jennifer"</formula>
    </cfRule>
  </conditionalFormatting>
  <conditionalFormatting sqref="E126:H126 E130:H130 F131:I131 E132:I132 H133:I135 H138:I145 H147:I147 H149:I149 H154:I154 H161 H162:I162 H165:I165 H167:I168 H170:I170 H172:I174 H177:I177 I184 H185:I186 H187 H191">
    <cfRule type="expression" dxfId="1179" priority="184">
      <formula>#REF!="Benzick, Sue"</formula>
    </cfRule>
    <cfRule type="expression" dxfId="1178" priority="186">
      <formula>#REF!="McQueen, Jennifer"</formula>
    </cfRule>
    <cfRule type="expression" dxfId="1177" priority="185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176" priority="174">
      <formula>#REF!="McQueen, Jennifer"</formula>
    </cfRule>
    <cfRule type="expression" dxfId="1175" priority="173">
      <formula>#REF!="Jenne, Richard"</formula>
    </cfRule>
    <cfRule type="expression" dxfId="1174" priority="172">
      <formula>#REF!="Benzick, Sue"</formula>
    </cfRule>
  </conditionalFormatting>
  <conditionalFormatting sqref="E218:H218">
    <cfRule type="expression" dxfId="1173" priority="169">
      <formula>#REF!="Benzick, Sue"</formula>
    </cfRule>
    <cfRule type="expression" dxfId="1172" priority="170">
      <formula>#REF!="Jenne, Richard"</formula>
    </cfRule>
    <cfRule type="expression" dxfId="1171" priority="171">
      <formula>#REF!="McQueen, Jennifer"</formula>
    </cfRule>
  </conditionalFormatting>
  <conditionalFormatting sqref="F153 F159:F160 F163">
    <cfRule type="expression" dxfId="1170" priority="151">
      <formula>$S154="Benzick, Sue"</formula>
    </cfRule>
    <cfRule type="expression" dxfId="1169" priority="153">
      <formula>$S154="McQueen, Jennifer"</formula>
    </cfRule>
    <cfRule type="expression" dxfId="1168" priority="152">
      <formula>$S154="Jenne, Richard"</formula>
    </cfRule>
  </conditionalFormatting>
  <conditionalFormatting sqref="F154:F155 F164">
    <cfRule type="expression" dxfId="1167" priority="150">
      <formula>$S156="McQueen, Jennifer"</formula>
    </cfRule>
    <cfRule type="expression" dxfId="1166" priority="149">
      <formula>$S156="Jenne, Richard"</formula>
    </cfRule>
    <cfRule type="expression" dxfId="1165" priority="148">
      <formula>$S156="Benzick, Sue"</formula>
    </cfRule>
  </conditionalFormatting>
  <conditionalFormatting sqref="F162">
    <cfRule type="expression" dxfId="1164" priority="143">
      <formula>#REF!="Jenne, Richard"</formula>
    </cfRule>
    <cfRule type="expression" dxfId="1163" priority="142">
      <formula>#REF!="Benzick, Sue"</formula>
    </cfRule>
    <cfRule type="expression" dxfId="1162" priority="144">
      <formula>#REF!="McQueen, Jennifer"</formula>
    </cfRule>
  </conditionalFormatting>
  <conditionalFormatting sqref="F166">
    <cfRule type="expression" dxfId="1161" priority="141">
      <formula>$S170="McQueen, Jennifer"</formula>
    </cfRule>
    <cfRule type="expression" dxfId="1160" priority="139">
      <formula>$S170="Benzick, Sue"</formula>
    </cfRule>
    <cfRule type="expression" dxfId="1159" priority="140">
      <formula>$S170="Jenne, Richard"</formula>
    </cfRule>
  </conditionalFormatting>
  <conditionalFormatting sqref="F193 F195">
    <cfRule type="expression" dxfId="1158" priority="205">
      <formula>$T194="Benzick, Sue"</formula>
    </cfRule>
    <cfRule type="expression" dxfId="1157" priority="206">
      <formula>$T194="Jenne, Richard"</formula>
    </cfRule>
    <cfRule type="expression" dxfId="1156" priority="207">
      <formula>$T194="McQueen, Jennifer"</formula>
    </cfRule>
  </conditionalFormatting>
  <conditionalFormatting sqref="F194">
    <cfRule type="expression" dxfId="1155" priority="227">
      <formula>#REF!="Jenne, Richard"</formula>
    </cfRule>
    <cfRule type="expression" dxfId="1154" priority="226">
      <formula>#REF!="Benzick, Sue"</formula>
    </cfRule>
    <cfRule type="expression" dxfId="1153" priority="228">
      <formula>#REF!="McQueen, Jennifer"</formula>
    </cfRule>
  </conditionalFormatting>
  <conditionalFormatting sqref="F302">
    <cfRule type="expression" dxfId="1152" priority="224">
      <formula>#REF!="Jenne, Richard"</formula>
    </cfRule>
    <cfRule type="expression" dxfId="1151" priority="225">
      <formula>#REF!="McQueen, Jennifer"</formula>
    </cfRule>
    <cfRule type="expression" dxfId="1150" priority="223">
      <formula>#REF!="Benzick, Sue"</formula>
    </cfRule>
  </conditionalFormatting>
  <conditionalFormatting sqref="F67:G67 E68:H68 E86:F86 F87 E89:F89 E109:F110 F135:G135 F150:F151 J217:M217">
    <cfRule type="expression" dxfId="1149" priority="210">
      <formula>$R67="McQueen, Jennifer"</formula>
    </cfRule>
    <cfRule type="expression" dxfId="1148" priority="208">
      <formula>$R67="Benzick, Sue"</formula>
    </cfRule>
    <cfRule type="expression" dxfId="1147" priority="209">
      <formula>$R67="Jenne, Richard"</formula>
    </cfRule>
  </conditionalFormatting>
  <conditionalFormatting sqref="F162:G162">
    <cfRule type="expression" dxfId="1146" priority="145">
      <formula>#REF!="Benzick, Sue"</formula>
    </cfRule>
    <cfRule type="expression" dxfId="1145" priority="147">
      <formula>#REF!="McQueen, Jennifer"</formula>
    </cfRule>
    <cfRule type="expression" dxfId="1144" priority="146">
      <formula>#REF!="Jenne, Richard"</formula>
    </cfRule>
  </conditionalFormatting>
  <conditionalFormatting sqref="F296:H296 H397:I402 H403">
    <cfRule type="expression" dxfId="1143" priority="165">
      <formula>#REF!="McQueen, Jennifer"</formula>
    </cfRule>
    <cfRule type="expression" dxfId="1142" priority="164">
      <formula>#REF!="Jenne, Richard"</formula>
    </cfRule>
    <cfRule type="expression" dxfId="1141" priority="163">
      <formula>#REF!="Benzick, Sue"</formula>
    </cfRule>
  </conditionalFormatting>
  <conditionalFormatting sqref="F297:H298 F382:H382 F384:H384 F385:G386">
    <cfRule type="expression" dxfId="1140" priority="160">
      <formula>$P297="Benzick, Sue"</formula>
    </cfRule>
    <cfRule type="expression" dxfId="1139" priority="162">
      <formula>$P297="McQueen, Jennifer"</formula>
    </cfRule>
    <cfRule type="expression" dxfId="1138" priority="161">
      <formula>$P297="Jenne, Richard"</formula>
    </cfRule>
  </conditionalFormatting>
  <conditionalFormatting sqref="F381:H381 F383:H383 F387:H388 F389:G390 F391:H393 F394:I394 F395:H396 F397:G398 H404:I404 H406:I409">
    <cfRule type="expression" dxfId="1137" priority="159">
      <formula>#REF!="McQueen, Jennifer"</formula>
    </cfRule>
    <cfRule type="expression" dxfId="1136" priority="158">
      <formula>#REF!="Jenne, Richard"</formula>
    </cfRule>
    <cfRule type="expression" dxfId="1135" priority="157">
      <formula>#REF!="Benzick, Sue"</formula>
    </cfRule>
  </conditionalFormatting>
  <conditionalFormatting sqref="G4:I4 H5:I11 H12:N12 J13:N13 H13:I16 H17:N17 H18:I31 G32:I35 G36:N36 G37:I37 F38:I38 F39:G40 H39:I44 H45:N50 H51:I53 I54:N54 I55 H56:I58 I59:I61 H62:I67 J65:N65 J67:N67 I68:N69 H69:H71 I70:I85 J72:N73 H74:H75 J76:N76 H77:H78 J79:N81 H82 J83:N83 H84:H85 H86:I88 H89:H103 I89:N105 H105 I116:N116 H117:I117 E118:I118 I119:N120 I123:N124 I126:N127 E127:G127 I130:N130 I136:N136 I146 I148:N148 I150:N153 I155:N157 H158:I160 I163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1134" priority="202">
      <formula>#REF!="Benzick, Sue"</formula>
    </cfRule>
    <cfRule type="expression" dxfId="1133" priority="204">
      <formula>#REF!="McQueen, Jennifer"</formula>
    </cfRule>
    <cfRule type="expression" dxfId="1132" priority="203">
      <formula>#REF!="Jenne, Richard"</formula>
    </cfRule>
  </conditionalFormatting>
  <conditionalFormatting sqref="G182:N182">
    <cfRule type="expression" dxfId="1131" priority="40">
      <formula>#REF!="Benzick, Sue"</formula>
    </cfRule>
    <cfRule type="expression" dxfId="1130" priority="41">
      <formula>#REF!="Jenne, Richard"</formula>
    </cfRule>
    <cfRule type="expression" dxfId="1129" priority="42">
      <formula>#REF!="McQueen, Jennifer"</formula>
    </cfRule>
  </conditionalFormatting>
  <conditionalFormatting sqref="H55 H61 H121:I122 H125:I125 H127 H128:I129 H137 H169 H173 H175:H176 H184">
    <cfRule type="expression" dxfId="1128" priority="177">
      <formula>#REF!="McQueen, Jennifer"</formula>
    </cfRule>
    <cfRule type="expression" dxfId="1127" priority="176">
      <formula>#REF!="Jenne, Richard"</formula>
    </cfRule>
    <cfRule type="expression" dxfId="1126" priority="175">
      <formula>#REF!="Benzick, Sue"</formula>
    </cfRule>
  </conditionalFormatting>
  <conditionalFormatting sqref="H234">
    <cfRule type="expression" dxfId="1125" priority="37">
      <formula>#REF!="Benzick, Sue"</formula>
    </cfRule>
    <cfRule type="expression" dxfId="1124" priority="38">
      <formula>#REF!="Jenne, Richard"</formula>
    </cfRule>
    <cfRule type="expression" dxfId="1123" priority="39">
      <formula>#REF!="McQueen, Jennifer"</formula>
    </cfRule>
  </conditionalFormatting>
  <conditionalFormatting sqref="H106:I115">
    <cfRule type="expression" dxfId="1122" priority="191">
      <formula>#REF!="Jenne, Richard"</formula>
    </cfRule>
    <cfRule type="expression" dxfId="1121" priority="190">
      <formula>#REF!="Benzick, Sue"</formula>
    </cfRule>
    <cfRule type="expression" dxfId="1120" priority="192">
      <formula>#REF!="McQueen, Jennifer"</formula>
    </cfRule>
  </conditionalFormatting>
  <conditionalFormatting sqref="I161">
    <cfRule type="expression" dxfId="1119" priority="34">
      <formula>#REF!="Benzick, Sue"</formula>
    </cfRule>
    <cfRule type="expression" dxfId="1118" priority="35">
      <formula>#REF!="Jenne, Richard"</formula>
    </cfRule>
    <cfRule type="expression" dxfId="1117" priority="36">
      <formula>#REF!="McQueen, Jennifer"</formula>
    </cfRule>
  </conditionalFormatting>
  <conditionalFormatting sqref="I175:I176">
    <cfRule type="expression" dxfId="1116" priority="55">
      <formula>#REF!="Benzick, Sue"</formula>
    </cfRule>
    <cfRule type="expression" dxfId="1115" priority="56">
      <formula>#REF!="Jenne, Richard"</formula>
    </cfRule>
    <cfRule type="expression" dxfId="1114" priority="57">
      <formula>#REF!="McQueen, Jennifer"</formula>
    </cfRule>
  </conditionalFormatting>
  <conditionalFormatting sqref="I203">
    <cfRule type="expression" dxfId="1113" priority="118">
      <formula>#REF!="Benzick, Sue"</formula>
    </cfRule>
    <cfRule type="expression" dxfId="1112" priority="119">
      <formula>#REF!="Jenne, Richard"</formula>
    </cfRule>
    <cfRule type="expression" dxfId="1111" priority="120">
      <formula>#REF!="McQueen, Jennifer"</formula>
    </cfRule>
  </conditionalFormatting>
  <conditionalFormatting sqref="I220">
    <cfRule type="expression" dxfId="1110" priority="82">
      <formula>#REF!="Benzick, Sue"</formula>
    </cfRule>
    <cfRule type="expression" dxfId="1109" priority="83">
      <formula>#REF!="Jenne, Richard"</formula>
    </cfRule>
    <cfRule type="expression" dxfId="1108" priority="84">
      <formula>#REF!="McQueen, Jennifer"</formula>
    </cfRule>
  </conditionalFormatting>
  <conditionalFormatting sqref="I246">
    <cfRule type="expression" dxfId="1107" priority="76">
      <formula>#REF!="Benzick, Sue"</formula>
    </cfRule>
    <cfRule type="expression" dxfId="1106" priority="77">
      <formula>#REF!="Jenne, Richard"</formula>
    </cfRule>
    <cfRule type="expression" dxfId="1105" priority="78">
      <formula>#REF!="McQueen, Jennifer"</formula>
    </cfRule>
  </conditionalFormatting>
  <conditionalFormatting sqref="I285">
    <cfRule type="expression" dxfId="1104" priority="112">
      <formula>#REF!="Benzick, Sue"</formula>
    </cfRule>
    <cfRule type="expression" dxfId="1103" priority="114">
      <formula>#REF!="McQueen, Jennifer"</formula>
    </cfRule>
    <cfRule type="expression" dxfId="1102" priority="113">
      <formula>#REF!="Jenne, Richard"</formula>
    </cfRule>
  </conditionalFormatting>
  <conditionalFormatting sqref="I332">
    <cfRule type="expression" dxfId="1101" priority="116">
      <formula>#REF!="Jenne, Richard"</formula>
    </cfRule>
    <cfRule type="expression" dxfId="1100" priority="115">
      <formula>#REF!="Benzick, Sue"</formula>
    </cfRule>
    <cfRule type="expression" dxfId="1099" priority="117">
      <formula>#REF!="McQueen, Jennifer"</formula>
    </cfRule>
  </conditionalFormatting>
  <conditionalFormatting sqref="I187:N190">
    <cfRule type="expression" dxfId="1098" priority="94">
      <formula>#REF!="Benzick, Sue"</formula>
    </cfRule>
    <cfRule type="expression" dxfId="1097" priority="96">
      <formula>#REF!="McQueen, Jennifer"</formula>
    </cfRule>
    <cfRule type="expression" dxfId="1096" priority="95">
      <formula>#REF!="Jenne, Richard"</formula>
    </cfRule>
  </conditionalFormatting>
  <conditionalFormatting sqref="I257:N257">
    <cfRule type="expression" dxfId="1095" priority="29">
      <formula>#REF!="Jenne, Richard"</formula>
    </cfRule>
    <cfRule type="expression" dxfId="1094" priority="30">
      <formula>#REF!="McQueen, Jennifer"</formula>
    </cfRule>
    <cfRule type="expression" dxfId="1093" priority="28">
      <formula>#REF!="Benzick, Sue"</formula>
    </cfRule>
  </conditionalFormatting>
  <conditionalFormatting sqref="I275:N275">
    <cfRule type="expression" dxfId="1092" priority="31">
      <formula>#REF!="Benzick, Sue"</formula>
    </cfRule>
    <cfRule type="expression" dxfId="1091" priority="33">
      <formula>#REF!="McQueen, Jennifer"</formula>
    </cfRule>
    <cfRule type="expression" dxfId="1090" priority="32">
      <formula>#REF!="Jenne, Richard"</formula>
    </cfRule>
  </conditionalFormatting>
  <conditionalFormatting sqref="I403:N403">
    <cfRule type="expression" dxfId="1089" priority="93">
      <formula>#REF!="McQueen, Jennifer"</formula>
    </cfRule>
    <cfRule type="expression" dxfId="1088" priority="91">
      <formula>#REF!="Benzick, Sue"</formula>
    </cfRule>
    <cfRule type="expression" dxfId="1087" priority="92">
      <formula>#REF!="Jenne, Richard"</formula>
    </cfRule>
  </conditionalFormatting>
  <conditionalFormatting sqref="I437:N442">
    <cfRule type="expression" dxfId="1086" priority="121">
      <formula>#REF!="Benzick, Sue"</formula>
    </cfRule>
    <cfRule type="expression" dxfId="1085" priority="122">
      <formula>#REF!="Jenne, Richard"</formula>
    </cfRule>
    <cfRule type="expression" dxfId="1084" priority="123">
      <formula>#REF!="McQueen, Jennifer"</formula>
    </cfRule>
  </conditionalFormatting>
  <conditionalFormatting sqref="J62">
    <cfRule type="expression" dxfId="1083" priority="111">
      <formula>#REF!="McQueen, Jennifer"</formula>
    </cfRule>
    <cfRule type="expression" dxfId="1082" priority="110">
      <formula>#REF!="Jenne, Richard"</formula>
    </cfRule>
    <cfRule type="expression" dxfId="1081" priority="109">
      <formula>#REF!="Benzick, Sue"</formula>
    </cfRule>
  </conditionalFormatting>
  <conditionalFormatting sqref="J220">
    <cfRule type="expression" dxfId="1080" priority="79">
      <formula>$T220="Benzick, Sue"</formula>
    </cfRule>
    <cfRule type="expression" dxfId="1079" priority="80">
      <formula>$T220="Jenne, Richard"</formula>
    </cfRule>
    <cfRule type="expression" dxfId="1078" priority="81">
      <formula>$T220="McQueen, Jennifer"</formula>
    </cfRule>
  </conditionalFormatting>
  <conditionalFormatting sqref="J246">
    <cfRule type="expression" dxfId="1077" priority="75">
      <formula>$T246="McQueen, Jennifer"</formula>
    </cfRule>
    <cfRule type="expression" dxfId="1076" priority="74">
      <formula>$T246="Jenne, Richard"</formula>
    </cfRule>
    <cfRule type="expression" dxfId="1075" priority="73">
      <formula>$T246="Benzick, Sue"</formula>
    </cfRule>
  </conditionalFormatting>
  <conditionalFormatting sqref="J254">
    <cfRule type="expression" dxfId="1074" priority="71">
      <formula>$T254="Jenne, Richard"</formula>
    </cfRule>
    <cfRule type="expression" dxfId="1073" priority="70">
      <formula>$T254="Benzick, Sue"</formula>
    </cfRule>
    <cfRule type="expression" dxfId="1072" priority="72">
      <formula>$T254="McQueen, Jennifer"</formula>
    </cfRule>
  </conditionalFormatting>
  <conditionalFormatting sqref="J392">
    <cfRule type="expression" dxfId="1071" priority="67">
      <formula>$T392="Benzick, Sue"</formula>
    </cfRule>
    <cfRule type="expression" dxfId="1070" priority="69">
      <formula>$T392="McQueen, Jennifer"</formula>
    </cfRule>
    <cfRule type="expression" dxfId="1069" priority="68">
      <formula>$T392="Jenne, Richard"</formula>
    </cfRule>
  </conditionalFormatting>
  <conditionalFormatting sqref="J449">
    <cfRule type="expression" dxfId="1068" priority="66">
      <formula>$T449="McQueen, Jennifer"</formula>
    </cfRule>
    <cfRule type="expression" dxfId="1067" priority="65">
      <formula>$T449="Jenne, Richard"</formula>
    </cfRule>
    <cfRule type="expression" dxfId="1066" priority="64">
      <formula>$T449="Benzick, Sue"</formula>
    </cfRule>
  </conditionalFormatting>
  <conditionalFormatting sqref="J4:N11 T4:T81 J14:N16 J18:N35 A32:A33 S32:S37 S39:S47 S49 S51:S65 E55:F55 F69:G70 S69:S80 E71:G71 E72:H72 F73:H73 E74:G74 J74:N74 F75:G75 F76:H76 E76:E78 F77:G77 J78:N78 F78:F79 A78:A81 E80:F81 S82:T122 J88:N88 J106:N106 B107 A108 J108:N109 A109:B109 E111:F111 J113:N115 J117:N117 T123 S124:T136 A129 E133 J134:N134 E136:H136 E138:G138 S138:T138 J138:N139 E139 S139:S140 T139:T146 F140 K140 M140:N140 F142:G145 S142:S146 F146:H146 J146:N147 F147:F148 F152 E152:E153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1065" priority="214">
      <formula>$S4="Benzick, Sue"</formula>
    </cfRule>
    <cfRule type="expression" dxfId="1064" priority="215">
      <formula>$S4="Jenne, Richard"</formula>
    </cfRule>
    <cfRule type="expression" dxfId="1063" priority="216">
      <formula>$S4="McQueen, Jennifer"</formula>
    </cfRule>
  </conditionalFormatting>
  <conditionalFormatting sqref="J37:N37">
    <cfRule type="expression" dxfId="1062" priority="62">
      <formula>$S37="Jenne, Richard"</formula>
    </cfRule>
    <cfRule type="expression" dxfId="1061" priority="61">
      <formula>$S37="Benzick, Sue"</formula>
    </cfRule>
    <cfRule type="expression" dxfId="1060" priority="63">
      <formula>$S37="McQueen, Jennifer"</formula>
    </cfRule>
  </conditionalFormatting>
  <conditionalFormatting sqref="J64:N64">
    <cfRule type="expression" dxfId="1059" priority="89">
      <formula>$T64="Jenne, Richard"</formula>
    </cfRule>
    <cfRule type="expression" dxfId="1058" priority="88">
      <formula>$T64="Benzick, Sue"</formula>
    </cfRule>
    <cfRule type="expression" dxfId="1057" priority="90">
      <formula>$T64="McQueen, Jennifer"</formula>
    </cfRule>
  </conditionalFormatting>
  <conditionalFormatting sqref="J71:N71">
    <cfRule type="expression" dxfId="1056" priority="87">
      <formula>$T71="McQueen, Jennifer"</formula>
    </cfRule>
    <cfRule type="expression" dxfId="1055" priority="86">
      <formula>$T71="Jenne, Richard"</formula>
    </cfRule>
    <cfRule type="expression" dxfId="1054" priority="85">
      <formula>$T71="Benzick, Sue"</formula>
    </cfRule>
  </conditionalFormatting>
  <conditionalFormatting sqref="K62">
    <cfRule type="expression" dxfId="1053" priority="107">
      <formula>#REF!="Jenne, Richard"</formula>
    </cfRule>
    <cfRule type="expression" dxfId="1052" priority="106">
      <formula>#REF!="Benzick, Sue"</formula>
    </cfRule>
    <cfRule type="expression" dxfId="1051" priority="108">
      <formula>#REF!="McQueen, Jennifer"</formula>
    </cfRule>
  </conditionalFormatting>
  <conditionalFormatting sqref="L62">
    <cfRule type="expression" dxfId="1050" priority="105">
      <formula>#REF!="McQueen, Jennifer"</formula>
    </cfRule>
    <cfRule type="expression" dxfId="1049" priority="104">
      <formula>#REF!="Jenne, Richard"</formula>
    </cfRule>
    <cfRule type="expression" dxfId="1048" priority="103">
      <formula>#REF!="Benzick, Sue"</formula>
    </cfRule>
  </conditionalFormatting>
  <conditionalFormatting sqref="M62">
    <cfRule type="expression" dxfId="1047" priority="102">
      <formula>#REF!="McQueen, Jennifer"</formula>
    </cfRule>
    <cfRule type="expression" dxfId="1046" priority="100">
      <formula>#REF!="Benzick, Sue"</formula>
    </cfRule>
    <cfRule type="expression" dxfId="1045" priority="101">
      <formula>#REF!="Jenne, Richard"</formula>
    </cfRule>
  </conditionalFormatting>
  <conditionalFormatting sqref="N62">
    <cfRule type="expression" dxfId="1044" priority="99">
      <formula>#REF!="McQueen, Jennifer"</formula>
    </cfRule>
    <cfRule type="expression" dxfId="1043" priority="98">
      <formula>#REF!="Jenne, Richard"</formula>
    </cfRule>
    <cfRule type="expression" dxfId="1042" priority="97">
      <formula>#REF!="Benzick, Sue"</formula>
    </cfRule>
  </conditionalFormatting>
  <conditionalFormatting sqref="S147:T190">
    <cfRule type="expression" dxfId="1041" priority="48">
      <formula>$S147="McQueen, Jennifer"</formula>
    </cfRule>
    <cfRule type="expression" dxfId="1040" priority="47">
      <formula>$S147="Jenne, Richard"</formula>
    </cfRule>
    <cfRule type="expression" dxfId="1039" priority="46">
      <formula>$S147="Benzick, Sue"</formula>
    </cfRule>
  </conditionalFormatting>
  <conditionalFormatting sqref="W182">
    <cfRule type="expression" dxfId="1038" priority="49">
      <formula>$X182="Benzick, Sue"</formula>
    </cfRule>
    <cfRule type="expression" dxfId="1037" priority="50">
      <formula>$X182="Jenne, Richard"</formula>
    </cfRule>
    <cfRule type="expression" dxfId="1036" priority="51">
      <formula>$X182="McQueen, Jennifer"</formula>
    </cfRule>
  </conditionalFormatting>
  <conditionalFormatting sqref="W335:W337">
    <cfRule type="expression" dxfId="1035" priority="217">
      <formula>$Y335="Benzick, Sue"</formula>
    </cfRule>
    <cfRule type="expression" dxfId="1034" priority="218">
      <formula>$Y335="Jenne, Richard"</formula>
    </cfRule>
    <cfRule type="expression" dxfId="1033" priority="219">
      <formula>$Y335="McQueen, Jennifer"</formula>
    </cfRule>
  </conditionalFormatting>
  <conditionalFormatting sqref="Y4:Y136 W15:W37 J38:N38 W39:W47 W49 W51:W65 W69:W80 W82:W122 W124:W136 W138:W157 Y138:Y190 Y192:Y245 Y247:Y458">
    <cfRule type="expression" dxfId="1032" priority="220">
      <formula>$X4="Benzick, Sue"</formula>
    </cfRule>
    <cfRule type="expression" dxfId="1031" priority="222">
      <formula>$X4="McQueen, Jennifer"</formula>
    </cfRule>
    <cfRule type="expression" dxfId="1030" priority="221">
      <formula>$X4="Jenne, Richard"</formula>
    </cfRule>
  </conditionalFormatting>
  <dataValidations count="4">
    <dataValidation allowBlank="1" showInputMessage="1" showErrorMessage="1" sqref="S138:S190 S247:S458 S192:S245 S4:S136" xr:uid="{8780455E-7938-4059-9F47-AC5C5206BA80}"/>
    <dataValidation type="list" allowBlank="1" showInputMessage="1" showErrorMessage="1" sqref="A72:A74 A179:A181 A183" xr:uid="{A8717146-77B3-498F-BE6E-8CBEDB4CC742}">
      <formula1>Location</formula1>
    </dataValidation>
    <dataValidation type="list" allowBlank="1" showInputMessage="1" showErrorMessage="1" sqref="B460:B466 B468:B738 B4:B458" xr:uid="{7666D769-00E7-465B-BC46-F9D37AAA53EB}">
      <formula1>Class</formula1>
    </dataValidation>
    <dataValidation type="list" allowBlank="1" showInputMessage="1" showErrorMessage="1" sqref="O460:O682" xr:uid="{6971A40A-A76B-40E8-B1D8-FBAE654B1AB9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EC93-B20D-44F9-942E-18C37F1D2133}">
  <sheetPr>
    <pageSetUpPr fitToPage="1"/>
  </sheetPr>
  <dimension ref="A1:AA459"/>
  <sheetViews>
    <sheetView topLeftCell="B1" zoomScale="90" zoomScaleNormal="90" workbookViewId="0">
      <selection activeCell="AG31" sqref="AG31"/>
    </sheetView>
  </sheetViews>
  <sheetFormatPr defaultColWidth="8.7109375" defaultRowHeight="15" x14ac:dyDescent="0.25"/>
  <cols>
    <col min="1" max="1" width="42.85546875" style="9" bestFit="1" customWidth="1"/>
    <col min="2" max="2" width="64.28515625" style="10" customWidth="1"/>
    <col min="3" max="3" width="14.28515625" style="2" customWidth="1"/>
    <col min="4" max="4" width="16.28515625" style="12" customWidth="1"/>
    <col min="5" max="5" width="21.7109375" style="10" hidden="1" customWidth="1"/>
    <col min="6" max="6" width="17" style="11" bestFit="1" customWidth="1"/>
    <col min="7" max="7" width="15.7109375" style="11" bestFit="1" customWidth="1"/>
    <col min="8" max="8" width="9.85546875" style="36" customWidth="1"/>
    <col min="9" max="9" width="9.7109375" style="36" customWidth="1"/>
    <col min="10" max="14" width="9.7109375" style="36" hidden="1" customWidth="1"/>
    <col min="15" max="15" width="20" style="10" bestFit="1" customWidth="1"/>
    <col min="16" max="16" width="18.42578125" style="10" bestFit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424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425</v>
      </c>
      <c r="B3" s="27" t="s">
        <v>227</v>
      </c>
      <c r="C3" s="27" t="s">
        <v>73</v>
      </c>
      <c r="D3" s="120" t="s">
        <v>228</v>
      </c>
      <c r="E3" s="27" t="s">
        <v>156</v>
      </c>
      <c r="F3" s="28" t="s">
        <v>229</v>
      </c>
      <c r="G3" s="28" t="s">
        <v>230</v>
      </c>
      <c r="H3" s="71" t="s">
        <v>231</v>
      </c>
      <c r="I3" s="71" t="s">
        <v>232</v>
      </c>
      <c r="J3" s="71" t="s">
        <v>233</v>
      </c>
      <c r="K3" s="71" t="s">
        <v>234</v>
      </c>
      <c r="L3" s="71" t="s">
        <v>235</v>
      </c>
      <c r="M3" s="71" t="s">
        <v>236</v>
      </c>
      <c r="N3" s="71" t="s">
        <v>237</v>
      </c>
      <c r="O3" s="27" t="s">
        <v>238</v>
      </c>
      <c r="P3" s="27" t="s">
        <v>239</v>
      </c>
      <c r="Q3" s="30" t="s">
        <v>240</v>
      </c>
      <c r="R3" s="30" t="s">
        <v>242</v>
      </c>
      <c r="S3" s="29" t="s">
        <v>246</v>
      </c>
      <c r="T3" s="29" t="s">
        <v>247</v>
      </c>
      <c r="U3" s="29" t="s">
        <v>13</v>
      </c>
      <c r="V3" s="29" t="s">
        <v>14</v>
      </c>
      <c r="W3" s="29" t="s">
        <v>248</v>
      </c>
      <c r="X3" s="29" t="s">
        <v>249</v>
      </c>
      <c r="Y3" s="29" t="s">
        <v>250</v>
      </c>
      <c r="Z3" s="29" t="s">
        <v>251</v>
      </c>
      <c r="AA3" s="29" t="s">
        <v>252</v>
      </c>
    </row>
    <row r="4" spans="1:27" s="103" customFormat="1" ht="14.25" customHeight="1" x14ac:dyDescent="0.25">
      <c r="A4" s="61"/>
      <c r="B4" s="96" t="s">
        <v>59</v>
      </c>
      <c r="C4" s="97" t="s">
        <v>138</v>
      </c>
      <c r="D4" s="97" t="s">
        <v>139</v>
      </c>
      <c r="E4" s="96"/>
      <c r="F4" s="99">
        <v>45937</v>
      </c>
      <c r="G4" s="99">
        <v>45941</v>
      </c>
      <c r="H4" s="102"/>
      <c r="I4" s="102">
        <v>0.33333333333333331</v>
      </c>
      <c r="J4" s="99"/>
      <c r="K4" s="99"/>
      <c r="L4" s="99"/>
      <c r="M4" s="99"/>
      <c r="N4" s="99"/>
      <c r="O4" s="96" t="s">
        <v>451</v>
      </c>
      <c r="P4" s="96" t="s">
        <v>304</v>
      </c>
      <c r="Q4" s="100">
        <v>45</v>
      </c>
      <c r="R4" s="101">
        <v>4</v>
      </c>
      <c r="S4" s="100"/>
      <c r="T4" s="100"/>
      <c r="U4" s="15"/>
      <c r="V4" s="15"/>
      <c r="W4" s="15"/>
      <c r="X4" s="96"/>
      <c r="Y4" s="69">
        <f ca="1">Table24[[#This Row],[End Date]]+2-TODAY()</f>
        <v>166</v>
      </c>
      <c r="Z4" s="15">
        <f>IF(ISBLANK(Table24[[#This Row],[Roster Received By]]),1,0)</f>
        <v>1</v>
      </c>
      <c r="AA4" s="15">
        <f ca="1">IF(Table24[[#This Row],[Start Date]]&gt;TODAY(),1,)</f>
        <v>1</v>
      </c>
    </row>
    <row r="5" spans="1:27" s="133" customFormat="1" ht="14.25" customHeight="1" x14ac:dyDescent="0.25">
      <c r="A5" s="61"/>
      <c r="B5" s="96" t="s">
        <v>59</v>
      </c>
      <c r="C5" s="97" t="s">
        <v>138</v>
      </c>
      <c r="D5" s="97" t="s">
        <v>139</v>
      </c>
      <c r="E5" s="64"/>
      <c r="F5" s="99">
        <v>45586</v>
      </c>
      <c r="G5" s="99">
        <v>45590</v>
      </c>
      <c r="H5" s="105"/>
      <c r="I5" s="105">
        <v>0.41666666666666669</v>
      </c>
      <c r="J5" s="99"/>
      <c r="K5" s="99"/>
      <c r="L5" s="99"/>
      <c r="M5" s="99"/>
      <c r="N5" s="99"/>
      <c r="O5" s="96" t="s">
        <v>451</v>
      </c>
      <c r="P5" s="96" t="s">
        <v>304</v>
      </c>
      <c r="Q5" s="15">
        <v>45</v>
      </c>
      <c r="R5" s="15">
        <v>4</v>
      </c>
      <c r="S5" s="15"/>
      <c r="T5" s="100"/>
      <c r="U5" s="15"/>
      <c r="V5" s="15"/>
      <c r="W5" s="15"/>
      <c r="X5" s="96"/>
      <c r="Y5" s="69">
        <f ca="1">Table24[[#This Row],[End Date]]+2-TODAY()</f>
        <v>-185</v>
      </c>
      <c r="Z5" s="15">
        <f>IF(ISBLANK(Table24[[#This Row],[Roster Received By]]),1,0)</f>
        <v>1</v>
      </c>
      <c r="AA5" s="15">
        <f ca="1">IF(Table24[[#This Row],[Start Date]]&gt;TODAY(),1,)</f>
        <v>0</v>
      </c>
    </row>
    <row r="6" spans="1:27" s="103" customFormat="1" ht="14.25" customHeight="1" x14ac:dyDescent="0.25">
      <c r="A6" s="61"/>
      <c r="B6" s="96" t="s">
        <v>59</v>
      </c>
      <c r="C6" s="97" t="s">
        <v>138</v>
      </c>
      <c r="D6" s="97" t="s">
        <v>139</v>
      </c>
      <c r="E6" s="96"/>
      <c r="F6" s="99">
        <v>45600</v>
      </c>
      <c r="G6" s="99">
        <v>45603</v>
      </c>
      <c r="H6" s="99"/>
      <c r="I6" s="98">
        <v>0.33333333333333331</v>
      </c>
      <c r="J6" s="102"/>
      <c r="K6" s="102"/>
      <c r="L6" s="102"/>
      <c r="M6" s="102"/>
      <c r="N6" s="102"/>
      <c r="O6" s="96" t="s">
        <v>451</v>
      </c>
      <c r="P6" s="96" t="s">
        <v>304</v>
      </c>
      <c r="Q6" s="15">
        <v>45</v>
      </c>
      <c r="R6" s="15">
        <v>4</v>
      </c>
      <c r="S6" s="15"/>
      <c r="T6" s="100"/>
      <c r="U6" s="15"/>
      <c r="V6" s="15"/>
      <c r="W6" s="15"/>
      <c r="X6" s="96"/>
      <c r="Y6" s="69">
        <f ca="1">Table24[[#This Row],[End Date]]+2-TODAY()</f>
        <v>-172</v>
      </c>
      <c r="Z6" s="15">
        <f>IF(ISBLANK(Table24[[#This Row],[Roster Received By]]),1,0)</f>
        <v>1</v>
      </c>
      <c r="AA6" s="15">
        <f ca="1">IF(Table24[[#This Row],[Start Date]]&gt;TODAY(),1,)</f>
        <v>0</v>
      </c>
    </row>
    <row r="7" spans="1:27" s="103" customFormat="1" ht="14.25" customHeight="1" x14ac:dyDescent="0.25">
      <c r="A7" s="61"/>
      <c r="B7" s="96" t="s">
        <v>59</v>
      </c>
      <c r="C7" s="97" t="s">
        <v>138</v>
      </c>
      <c r="D7" s="97" t="s">
        <v>139</v>
      </c>
      <c r="E7" s="64"/>
      <c r="F7" s="99">
        <v>45614</v>
      </c>
      <c r="G7" s="99">
        <v>45617</v>
      </c>
      <c r="H7" s="102"/>
      <c r="I7" s="102">
        <v>0.41666666666666669</v>
      </c>
      <c r="J7" s="99"/>
      <c r="K7" s="99"/>
      <c r="L7" s="99"/>
      <c r="M7" s="99"/>
      <c r="N7" s="99"/>
      <c r="O7" s="96" t="s">
        <v>451</v>
      </c>
      <c r="P7" s="96" t="s">
        <v>304</v>
      </c>
      <c r="Q7" s="15">
        <v>45</v>
      </c>
      <c r="R7" s="15">
        <v>4</v>
      </c>
      <c r="S7" s="15"/>
      <c r="T7" s="100"/>
      <c r="U7" s="15"/>
      <c r="V7" s="15"/>
      <c r="W7" s="15"/>
      <c r="X7" s="96"/>
      <c r="Y7" s="69">
        <f ca="1">Table24[[#This Row],[End Date]]+2-TODAY()</f>
        <v>-158</v>
      </c>
      <c r="Z7" s="15">
        <f>IF(ISBLANK(Table24[[#This Row],[Roster Received By]]),1,0)</f>
        <v>1</v>
      </c>
      <c r="AA7" s="15">
        <f ca="1">IF(Table24[[#This Row],[Start Date]]&gt;TODAY(),1,)</f>
        <v>0</v>
      </c>
    </row>
    <row r="8" spans="1:27" s="103" customFormat="1" ht="14.25" customHeight="1" x14ac:dyDescent="0.25">
      <c r="A8" s="61"/>
      <c r="B8" s="96" t="s">
        <v>59</v>
      </c>
      <c r="C8" s="97" t="s">
        <v>138</v>
      </c>
      <c r="D8" s="97" t="s">
        <v>139</v>
      </c>
      <c r="E8" s="96"/>
      <c r="F8" s="99">
        <v>45628</v>
      </c>
      <c r="G8" s="99">
        <v>45631</v>
      </c>
      <c r="H8" s="99"/>
      <c r="I8" s="98">
        <v>0.33333333333333331</v>
      </c>
      <c r="J8" s="102"/>
      <c r="K8" s="102"/>
      <c r="L8" s="102"/>
      <c r="M8" s="102"/>
      <c r="N8" s="102"/>
      <c r="O8" s="96" t="s">
        <v>451</v>
      </c>
      <c r="P8" s="96" t="s">
        <v>304</v>
      </c>
      <c r="Q8" s="15">
        <v>45</v>
      </c>
      <c r="R8" s="15">
        <v>4</v>
      </c>
      <c r="S8" s="15"/>
      <c r="T8" s="100"/>
      <c r="U8" s="15"/>
      <c r="V8" s="15"/>
      <c r="W8" s="97"/>
      <c r="X8" s="96"/>
      <c r="Y8" s="69">
        <f ca="1">Table24[[#This Row],[End Date]]+2-TODAY()</f>
        <v>-144</v>
      </c>
      <c r="Z8" s="15">
        <f>IF(ISBLANK(Table24[[#This Row],[Roster Received By]]),1,0)</f>
        <v>1</v>
      </c>
      <c r="AA8" s="15">
        <f ca="1">IF(Table24[[#This Row],[Start Date]]&gt;TODAY(),1,)</f>
        <v>0</v>
      </c>
    </row>
    <row r="9" spans="1:27" s="103" customFormat="1" ht="14.25" customHeight="1" x14ac:dyDescent="0.25">
      <c r="A9" s="61"/>
      <c r="B9" s="96" t="s">
        <v>59</v>
      </c>
      <c r="C9" s="97" t="s">
        <v>138</v>
      </c>
      <c r="D9" s="97" t="s">
        <v>139</v>
      </c>
      <c r="E9" s="96"/>
      <c r="F9" s="99">
        <v>46007</v>
      </c>
      <c r="G9" s="99">
        <v>46010</v>
      </c>
      <c r="H9" s="102"/>
      <c r="I9" s="98">
        <v>0.33333333333333331</v>
      </c>
      <c r="J9" s="99"/>
      <c r="K9" s="99"/>
      <c r="L9" s="99"/>
      <c r="M9" s="99"/>
      <c r="N9" s="99"/>
      <c r="O9" s="96" t="s">
        <v>451</v>
      </c>
      <c r="P9" s="96" t="s">
        <v>304</v>
      </c>
      <c r="Q9" s="15">
        <v>45</v>
      </c>
      <c r="R9" s="15">
        <v>4</v>
      </c>
      <c r="S9" s="100"/>
      <c r="T9" s="100"/>
      <c r="U9" s="15"/>
      <c r="V9" s="15"/>
      <c r="W9" s="97"/>
      <c r="X9" s="96"/>
      <c r="Y9" s="69">
        <f ca="1">Table24[[#This Row],[End Date]]+2-TODAY()</f>
        <v>235</v>
      </c>
      <c r="Z9" s="15">
        <f>IF(ISBLANK(Table24[[#This Row],[Roster Received By]]),1,0)</f>
        <v>1</v>
      </c>
      <c r="AA9" s="15">
        <f ca="1">IF(Table24[[#This Row],[Start Date]]&gt;TODAY(),1,)</f>
        <v>1</v>
      </c>
    </row>
    <row r="10" spans="1:27" s="103" customFormat="1" ht="14.25" customHeight="1" x14ac:dyDescent="0.25">
      <c r="A10" s="61"/>
      <c r="B10" s="96" t="s">
        <v>59</v>
      </c>
      <c r="C10" s="97" t="s">
        <v>138</v>
      </c>
      <c r="D10" s="97" t="s">
        <v>139</v>
      </c>
      <c r="E10" s="64"/>
      <c r="F10" s="99">
        <v>45670</v>
      </c>
      <c r="G10" s="99">
        <v>45673</v>
      </c>
      <c r="H10" s="105"/>
      <c r="I10" s="105">
        <v>0.54166666666666663</v>
      </c>
      <c r="J10" s="99"/>
      <c r="K10" s="99"/>
      <c r="L10" s="99"/>
      <c r="M10" s="99"/>
      <c r="N10" s="99"/>
      <c r="O10" s="96" t="s">
        <v>451</v>
      </c>
      <c r="P10" s="96" t="s">
        <v>304</v>
      </c>
      <c r="Q10" s="15">
        <v>45</v>
      </c>
      <c r="R10" s="15">
        <v>4</v>
      </c>
      <c r="S10" s="15"/>
      <c r="T10" s="100"/>
      <c r="U10" s="15"/>
      <c r="V10" s="15"/>
      <c r="W10" s="15"/>
      <c r="X10" s="96"/>
      <c r="Y10" s="69">
        <f ca="1">Table24[[#This Row],[End Date]]+2-TODAY()</f>
        <v>-102</v>
      </c>
      <c r="Z10" s="15">
        <f>IF(ISBLANK(Table24[[#This Row],[Roster Received By]]),1,0)</f>
        <v>1</v>
      </c>
      <c r="AA10" s="15">
        <f ca="1">IF(Table24[[#This Row],[Start Date]]&gt;TODAY(),1,)</f>
        <v>0</v>
      </c>
    </row>
    <row r="11" spans="1:27" s="103" customFormat="1" ht="14.25" customHeight="1" x14ac:dyDescent="0.25">
      <c r="A11" s="61"/>
      <c r="B11" s="96" t="s">
        <v>59</v>
      </c>
      <c r="C11" s="97" t="s">
        <v>138</v>
      </c>
      <c r="D11" s="97" t="s">
        <v>139</v>
      </c>
      <c r="E11" s="64"/>
      <c r="F11" s="99">
        <v>45678</v>
      </c>
      <c r="G11" s="99">
        <v>45681</v>
      </c>
      <c r="H11" s="105"/>
      <c r="I11" s="105">
        <v>0.41666666666666669</v>
      </c>
      <c r="J11" s="99"/>
      <c r="K11" s="99"/>
      <c r="L11" s="99"/>
      <c r="M11" s="99"/>
      <c r="N11" s="99"/>
      <c r="O11" s="96" t="s">
        <v>451</v>
      </c>
      <c r="P11" s="96" t="s">
        <v>304</v>
      </c>
      <c r="Q11" s="15">
        <v>45</v>
      </c>
      <c r="R11" s="15">
        <v>4</v>
      </c>
      <c r="S11" s="100"/>
      <c r="T11" s="100"/>
      <c r="U11" s="15"/>
      <c r="V11" s="15"/>
      <c r="W11" s="15"/>
      <c r="X11" s="96"/>
      <c r="Y11" s="69">
        <f ca="1">Table24[[#This Row],[End Date]]+2-TODAY()</f>
        <v>-94</v>
      </c>
      <c r="Z11" s="15">
        <f>IF(ISBLANK(Table24[[#This Row],[Roster Received By]]),1,0)</f>
        <v>1</v>
      </c>
      <c r="AA11" s="15">
        <f ca="1">IF(Table24[[#This Row],[Start Date]]&gt;TODAY(),1,)</f>
        <v>0</v>
      </c>
    </row>
    <row r="12" spans="1:27" s="103" customFormat="1" ht="14.25" customHeight="1" x14ac:dyDescent="0.25">
      <c r="A12" s="61"/>
      <c r="B12" s="96" t="s">
        <v>59</v>
      </c>
      <c r="C12" s="97" t="s">
        <v>138</v>
      </c>
      <c r="D12" s="97" t="s">
        <v>139</v>
      </c>
      <c r="E12" s="96"/>
      <c r="F12" s="99">
        <v>45691</v>
      </c>
      <c r="G12" s="99">
        <v>45694</v>
      </c>
      <c r="H12" s="99"/>
      <c r="I12" s="98">
        <v>0.33333333333333331</v>
      </c>
      <c r="J12" s="102"/>
      <c r="K12" s="102"/>
      <c r="L12" s="102"/>
      <c r="M12" s="102"/>
      <c r="N12" s="102"/>
      <c r="O12" s="96" t="s">
        <v>451</v>
      </c>
      <c r="P12" s="96" t="s">
        <v>304</v>
      </c>
      <c r="Q12" s="15">
        <v>45</v>
      </c>
      <c r="R12" s="15">
        <v>4</v>
      </c>
      <c r="S12" s="15"/>
      <c r="T12" s="100"/>
      <c r="U12" s="15"/>
      <c r="V12" s="15"/>
      <c r="W12" s="15"/>
      <c r="X12" s="96"/>
      <c r="Y12" s="69">
        <f ca="1">Table24[[#This Row],[End Date]]+2-TODAY()</f>
        <v>-81</v>
      </c>
      <c r="Z12" s="15">
        <f>IF(ISBLANK(Table24[[#This Row],[Roster Received By]]),1,0)</f>
        <v>1</v>
      </c>
      <c r="AA12" s="15">
        <f ca="1">IF(Table24[[#This Row],[Start Date]]&gt;TODAY(),1,)</f>
        <v>0</v>
      </c>
    </row>
    <row r="13" spans="1:27" s="103" customFormat="1" ht="14.25" customHeight="1" x14ac:dyDescent="0.25">
      <c r="A13" s="61"/>
      <c r="B13" s="96" t="s">
        <v>59</v>
      </c>
      <c r="C13" s="97" t="s">
        <v>138</v>
      </c>
      <c r="D13" s="97" t="s">
        <v>139</v>
      </c>
      <c r="E13" s="96"/>
      <c r="F13" s="99">
        <v>45712</v>
      </c>
      <c r="G13" s="99">
        <v>45715</v>
      </c>
      <c r="H13" s="99"/>
      <c r="I13" s="98">
        <v>0.79166666666666663</v>
      </c>
      <c r="J13" s="102"/>
      <c r="K13" s="102"/>
      <c r="L13" s="102"/>
      <c r="M13" s="102"/>
      <c r="N13" s="102"/>
      <c r="O13" s="96" t="s">
        <v>451</v>
      </c>
      <c r="P13" s="96" t="s">
        <v>304</v>
      </c>
      <c r="Q13" s="15">
        <v>45</v>
      </c>
      <c r="R13" s="15">
        <v>4</v>
      </c>
      <c r="S13" s="15"/>
      <c r="T13" s="100"/>
      <c r="U13" s="15"/>
      <c r="V13" s="15"/>
      <c r="W13" s="15"/>
      <c r="X13" s="96"/>
      <c r="Y13" s="69">
        <f ca="1">Table24[[#This Row],[End Date]]+2-TODAY()</f>
        <v>-60</v>
      </c>
      <c r="Z13" s="15">
        <f>IF(ISBLANK(Table24[[#This Row],[Roster Received By]]),1,0)</f>
        <v>1</v>
      </c>
      <c r="AA13" s="15">
        <f ca="1">IF(Table24[[#This Row],[Start Date]]&gt;TODAY(),1,)</f>
        <v>0</v>
      </c>
    </row>
    <row r="14" spans="1:27" s="103" customFormat="1" ht="14.25" customHeight="1" x14ac:dyDescent="0.25">
      <c r="A14" s="61"/>
      <c r="B14" s="96" t="s">
        <v>59</v>
      </c>
      <c r="C14" s="97" t="s">
        <v>138</v>
      </c>
      <c r="D14" s="97" t="s">
        <v>139</v>
      </c>
      <c r="E14" s="96"/>
      <c r="F14" s="99">
        <v>45720</v>
      </c>
      <c r="G14" s="99">
        <v>45723</v>
      </c>
      <c r="H14" s="99"/>
      <c r="I14" s="98">
        <v>0.45833333333333331</v>
      </c>
      <c r="J14" s="102"/>
      <c r="K14" s="102"/>
      <c r="L14" s="102"/>
      <c r="M14" s="102"/>
      <c r="N14" s="102"/>
      <c r="O14" s="96" t="s">
        <v>451</v>
      </c>
      <c r="P14" s="96" t="s">
        <v>304</v>
      </c>
      <c r="Q14" s="15">
        <v>45</v>
      </c>
      <c r="R14" s="15">
        <v>4</v>
      </c>
      <c r="S14" s="100"/>
      <c r="T14" s="100"/>
      <c r="U14" s="15"/>
      <c r="V14" s="15"/>
      <c r="W14" s="15"/>
      <c r="X14" s="96"/>
      <c r="Y14" s="69">
        <f ca="1">Table24[[#This Row],[End Date]]+2-TODAY()</f>
        <v>-52</v>
      </c>
      <c r="Z14" s="15">
        <f>IF(ISBLANK(Table24[[#This Row],[Roster Received By]]),1,0)</f>
        <v>1</v>
      </c>
      <c r="AA14" s="15">
        <f ca="1">IF(Table24[[#This Row],[Start Date]]&gt;TODAY(),1,)</f>
        <v>0</v>
      </c>
    </row>
    <row r="15" spans="1:27" s="103" customFormat="1" ht="14.25" customHeight="1" x14ac:dyDescent="0.25">
      <c r="A15" s="61"/>
      <c r="B15" s="96" t="s">
        <v>59</v>
      </c>
      <c r="C15" s="97" t="s">
        <v>138</v>
      </c>
      <c r="D15" s="97" t="s">
        <v>139</v>
      </c>
      <c r="E15" s="96"/>
      <c r="F15" s="99">
        <v>45733</v>
      </c>
      <c r="G15" s="99">
        <v>45736</v>
      </c>
      <c r="H15" s="99"/>
      <c r="I15" s="98">
        <v>0.29166666666666669</v>
      </c>
      <c r="J15" s="102"/>
      <c r="K15" s="102"/>
      <c r="L15" s="102"/>
      <c r="M15" s="102"/>
      <c r="N15" s="102"/>
      <c r="O15" s="96" t="s">
        <v>451</v>
      </c>
      <c r="P15" s="96" t="s">
        <v>304</v>
      </c>
      <c r="Q15" s="15">
        <v>45</v>
      </c>
      <c r="R15" s="15">
        <v>4</v>
      </c>
      <c r="S15" s="15"/>
      <c r="T15" s="100"/>
      <c r="U15" s="15"/>
      <c r="V15" s="15"/>
      <c r="W15" s="15"/>
      <c r="X15" s="96"/>
      <c r="Y15" s="69">
        <f ca="1">Table24[[#This Row],[End Date]]+2-TODAY()</f>
        <v>-39</v>
      </c>
      <c r="Z15" s="15">
        <f>IF(ISBLANK(Table24[[#This Row],[Roster Received By]]),1,0)</f>
        <v>1</v>
      </c>
      <c r="AA15" s="15">
        <f ca="1">IF(Table24[[#This Row],[Start Date]]&gt;TODAY(),1,)</f>
        <v>0</v>
      </c>
    </row>
    <row r="16" spans="1:27" s="103" customFormat="1" ht="14.25" customHeight="1" x14ac:dyDescent="0.25">
      <c r="A16" s="61"/>
      <c r="B16" s="96" t="s">
        <v>59</v>
      </c>
      <c r="C16" s="97" t="s">
        <v>138</v>
      </c>
      <c r="D16" s="97" t="s">
        <v>139</v>
      </c>
      <c r="E16" s="96"/>
      <c r="F16" s="99">
        <v>45747</v>
      </c>
      <c r="G16" s="99">
        <v>45750</v>
      </c>
      <c r="H16" s="99"/>
      <c r="I16" s="98">
        <v>0.33333333333333331</v>
      </c>
      <c r="J16" s="102"/>
      <c r="K16" s="102"/>
      <c r="L16" s="102"/>
      <c r="M16" s="102"/>
      <c r="N16" s="102"/>
      <c r="O16" s="96" t="s">
        <v>451</v>
      </c>
      <c r="P16" s="96" t="s">
        <v>304</v>
      </c>
      <c r="Q16" s="15">
        <v>45</v>
      </c>
      <c r="R16" s="15">
        <v>4</v>
      </c>
      <c r="S16" s="15"/>
      <c r="T16" s="100"/>
      <c r="U16" s="15"/>
      <c r="V16" s="15"/>
      <c r="W16" s="15"/>
      <c r="X16" s="96"/>
      <c r="Y16" s="69">
        <f ca="1">Table24[[#This Row],[End Date]]+2-TODAY()</f>
        <v>-25</v>
      </c>
      <c r="Z16" s="15">
        <f>IF(ISBLANK(Table24[[#This Row],[Roster Received By]]),1,0)</f>
        <v>1</v>
      </c>
      <c r="AA16" s="15">
        <f ca="1">IF(Table24[[#This Row],[Start Date]]&gt;TODAY(),1,)</f>
        <v>0</v>
      </c>
    </row>
    <row r="17" spans="1:27" s="103" customFormat="1" ht="14.25" customHeight="1" x14ac:dyDescent="0.25">
      <c r="A17" s="61"/>
      <c r="B17" s="96" t="s">
        <v>59</v>
      </c>
      <c r="C17" s="97" t="s">
        <v>138</v>
      </c>
      <c r="D17" s="97" t="s">
        <v>139</v>
      </c>
      <c r="E17" s="96"/>
      <c r="F17" s="99">
        <v>45762</v>
      </c>
      <c r="G17" s="99">
        <v>45765</v>
      </c>
      <c r="H17" s="99"/>
      <c r="I17" s="98">
        <v>0.41666666666666669</v>
      </c>
      <c r="J17" s="102"/>
      <c r="K17" s="102"/>
      <c r="L17" s="102"/>
      <c r="M17" s="102"/>
      <c r="N17" s="102"/>
      <c r="O17" s="96" t="s">
        <v>451</v>
      </c>
      <c r="P17" s="96" t="s">
        <v>304</v>
      </c>
      <c r="Q17" s="15">
        <v>45</v>
      </c>
      <c r="R17" s="15">
        <v>4</v>
      </c>
      <c r="S17" s="100"/>
      <c r="T17" s="100"/>
      <c r="U17" s="15"/>
      <c r="V17" s="15"/>
      <c r="W17" s="15"/>
      <c r="X17" s="96"/>
      <c r="Y17" s="69">
        <f ca="1">Table24[[#This Row],[End Date]]+2-TODAY()</f>
        <v>-10</v>
      </c>
      <c r="Z17" s="15">
        <f>IF(ISBLANK(Table24[[#This Row],[Roster Received By]]),1,0)</f>
        <v>1</v>
      </c>
      <c r="AA17" s="15">
        <f ca="1">IF(Table24[[#This Row],[Start Date]]&gt;TODAY(),1,)</f>
        <v>0</v>
      </c>
    </row>
    <row r="18" spans="1:27" s="103" customFormat="1" ht="14.25" customHeight="1" x14ac:dyDescent="0.25">
      <c r="A18" s="61"/>
      <c r="B18" s="96" t="s">
        <v>59</v>
      </c>
      <c r="C18" s="97" t="s">
        <v>138</v>
      </c>
      <c r="D18" s="97" t="s">
        <v>139</v>
      </c>
      <c r="E18" s="96"/>
      <c r="F18" s="99">
        <v>45775</v>
      </c>
      <c r="G18" s="99">
        <v>45778</v>
      </c>
      <c r="H18" s="99"/>
      <c r="I18" s="98">
        <v>0.54166666666666663</v>
      </c>
      <c r="J18" s="102"/>
      <c r="K18" s="102"/>
      <c r="L18" s="102"/>
      <c r="M18" s="102"/>
      <c r="N18" s="102"/>
      <c r="O18" s="96" t="s">
        <v>451</v>
      </c>
      <c r="P18" s="96" t="s">
        <v>304</v>
      </c>
      <c r="Q18" s="15">
        <v>45</v>
      </c>
      <c r="R18" s="15">
        <v>4</v>
      </c>
      <c r="S18" s="100"/>
      <c r="T18" s="100"/>
      <c r="U18" s="15"/>
      <c r="V18" s="15"/>
      <c r="W18" s="15"/>
      <c r="X18" s="96"/>
      <c r="Y18" s="69">
        <f ca="1">Table24[[#This Row],[End Date]]+2-TODAY()</f>
        <v>3</v>
      </c>
      <c r="Z18" s="15">
        <f>IF(ISBLANK(Table24[[#This Row],[Roster Received By]]),1,0)</f>
        <v>1</v>
      </c>
      <c r="AA18" s="15">
        <f ca="1">IF(Table24[[#This Row],[Start Date]]&gt;TODAY(),1,)</f>
        <v>0</v>
      </c>
    </row>
    <row r="19" spans="1:27" s="103" customFormat="1" ht="16.5" customHeight="1" x14ac:dyDescent="0.25">
      <c r="A19" s="148" t="s">
        <v>452</v>
      </c>
      <c r="B19" s="149" t="s">
        <v>59</v>
      </c>
      <c r="C19" s="150" t="s">
        <v>138</v>
      </c>
      <c r="D19" s="150" t="s">
        <v>139</v>
      </c>
      <c r="E19" s="149"/>
      <c r="F19" s="151">
        <v>45789</v>
      </c>
      <c r="G19" s="151">
        <v>45792</v>
      </c>
      <c r="H19" s="151"/>
      <c r="I19" s="152">
        <v>0.45833333333333331</v>
      </c>
      <c r="J19" s="154"/>
      <c r="K19" s="154"/>
      <c r="L19" s="154"/>
      <c r="M19" s="154"/>
      <c r="N19" s="154"/>
      <c r="O19" s="149" t="s">
        <v>451</v>
      </c>
      <c r="P19" s="149" t="s">
        <v>304</v>
      </c>
      <c r="Q19" s="153">
        <v>45</v>
      </c>
      <c r="R19" s="153">
        <v>4</v>
      </c>
      <c r="S19" s="15"/>
      <c r="T19" s="100"/>
      <c r="U19" s="15"/>
      <c r="V19" s="15"/>
      <c r="W19" s="100"/>
      <c r="X19" s="96"/>
      <c r="Y19" s="69">
        <f ca="1">Table24[[#This Row],[End Date]]+2-TODAY()</f>
        <v>17</v>
      </c>
      <c r="Z19" s="15">
        <f>IF(ISBLANK(Table24[[#This Row],[Roster Received By]]),1,0)</f>
        <v>1</v>
      </c>
      <c r="AA19" s="15">
        <f ca="1">IF(Table24[[#This Row],[Start Date]]&gt;TODAY(),1,)</f>
        <v>1</v>
      </c>
    </row>
    <row r="20" spans="1:27" s="103" customFormat="1" ht="14.25" customHeight="1" x14ac:dyDescent="0.25">
      <c r="A20" s="155" t="s">
        <v>453</v>
      </c>
      <c r="B20" s="156" t="s">
        <v>59</v>
      </c>
      <c r="C20" s="157" t="s">
        <v>138</v>
      </c>
      <c r="D20" s="157" t="s">
        <v>139</v>
      </c>
      <c r="E20" s="156"/>
      <c r="F20" s="158">
        <v>45804</v>
      </c>
      <c r="G20" s="159">
        <v>45807</v>
      </c>
      <c r="H20" s="159"/>
      <c r="I20" s="160">
        <v>0.33333333333333331</v>
      </c>
      <c r="J20" s="160"/>
      <c r="K20" s="160"/>
      <c r="L20" s="160"/>
      <c r="M20" s="160"/>
      <c r="N20" s="160"/>
      <c r="O20" s="156" t="s">
        <v>451</v>
      </c>
      <c r="P20" s="156" t="s">
        <v>304</v>
      </c>
      <c r="Q20" s="161">
        <v>45</v>
      </c>
      <c r="R20" s="161">
        <v>4</v>
      </c>
      <c r="S20" s="15"/>
      <c r="T20" s="100"/>
      <c r="U20" s="15"/>
      <c r="V20" s="15"/>
      <c r="W20" s="15"/>
      <c r="X20" s="96"/>
      <c r="Y20" s="69">
        <f ca="1">Table24[[#This Row],[End Date]]+2-TODAY()</f>
        <v>32</v>
      </c>
      <c r="Z20" s="15">
        <f>IF(ISBLANK(Table24[[#This Row],[Roster Received By]]),1,0)</f>
        <v>1</v>
      </c>
      <c r="AA20" s="15">
        <f ca="1">IF(Table24[[#This Row],[Start Date]]&gt;TODAY(),1,)</f>
        <v>1</v>
      </c>
    </row>
    <row r="21" spans="1:27" s="103" customFormat="1" ht="14.25" customHeight="1" x14ac:dyDescent="0.25">
      <c r="A21" s="64"/>
      <c r="B21" s="96" t="s">
        <v>59</v>
      </c>
      <c r="C21" s="97" t="s">
        <v>138</v>
      </c>
      <c r="D21" s="97" t="s">
        <v>139</v>
      </c>
      <c r="E21" s="96"/>
      <c r="F21" s="99">
        <v>45810</v>
      </c>
      <c r="G21" s="99">
        <v>45813</v>
      </c>
      <c r="H21" s="102"/>
      <c r="I21" s="102">
        <v>0.54166666666666663</v>
      </c>
      <c r="J21" s="102"/>
      <c r="K21" s="102"/>
      <c r="L21" s="102"/>
      <c r="M21" s="102"/>
      <c r="N21" s="102"/>
      <c r="O21" s="96" t="s">
        <v>451</v>
      </c>
      <c r="P21" s="96" t="s">
        <v>304</v>
      </c>
      <c r="Q21" s="15">
        <v>45</v>
      </c>
      <c r="R21" s="15">
        <v>4</v>
      </c>
      <c r="S21" s="100"/>
      <c r="T21" s="100"/>
      <c r="U21" s="15"/>
      <c r="V21" s="15"/>
      <c r="W21" s="97"/>
      <c r="X21" s="96"/>
      <c r="Y21" s="69">
        <f ca="1">Table24[[#This Row],[End Date]]+2-TODAY()</f>
        <v>38</v>
      </c>
      <c r="Z21" s="15">
        <f>IF(ISBLANK(Table24[[#This Row],[Roster Received By]]),1,0)</f>
        <v>1</v>
      </c>
      <c r="AA21" s="15">
        <f ca="1">IF(Table24[[#This Row],[Start Date]]&gt;TODAY(),1,)</f>
        <v>1</v>
      </c>
    </row>
    <row r="22" spans="1:27" s="103" customFormat="1" ht="14.25" customHeight="1" x14ac:dyDescent="0.25">
      <c r="A22" s="96"/>
      <c r="B22" s="96" t="s">
        <v>59</v>
      </c>
      <c r="C22" s="97" t="s">
        <v>138</v>
      </c>
      <c r="D22" s="97" t="s">
        <v>139</v>
      </c>
      <c r="E22" s="96"/>
      <c r="F22" s="99">
        <v>45831</v>
      </c>
      <c r="G22" s="99">
        <v>45834</v>
      </c>
      <c r="H22" s="102"/>
      <c r="I22" s="98">
        <v>0.29166666666666669</v>
      </c>
      <c r="J22" s="102"/>
      <c r="K22" s="102"/>
      <c r="L22" s="102"/>
      <c r="M22" s="102"/>
      <c r="N22" s="102"/>
      <c r="O22" s="96" t="s">
        <v>451</v>
      </c>
      <c r="P22" s="96" t="s">
        <v>304</v>
      </c>
      <c r="Q22" s="15">
        <v>45</v>
      </c>
      <c r="R22" s="15">
        <v>4</v>
      </c>
      <c r="S22" s="100"/>
      <c r="T22" s="100"/>
      <c r="U22" s="15"/>
      <c r="V22" s="15"/>
      <c r="W22" s="100"/>
      <c r="X22" s="96"/>
      <c r="Y22" s="69">
        <f ca="1">Table24[[#This Row],[End Date]]+2-TODAY()</f>
        <v>59</v>
      </c>
      <c r="Z22" s="15">
        <f>IF(ISBLANK(Table24[[#This Row],[Roster Received By]]),1,0)</f>
        <v>1</v>
      </c>
      <c r="AA22" s="15">
        <f ca="1">IF(Table24[[#This Row],[Start Date]]&gt;TODAY(),1,)</f>
        <v>1</v>
      </c>
    </row>
    <row r="23" spans="1:27" s="103" customFormat="1" ht="14.25" customHeight="1" x14ac:dyDescent="0.25">
      <c r="A23" s="61"/>
      <c r="B23" s="96" t="s">
        <v>59</v>
      </c>
      <c r="C23" s="97" t="s">
        <v>138</v>
      </c>
      <c r="D23" s="97" t="s">
        <v>139</v>
      </c>
      <c r="E23" s="96"/>
      <c r="F23" s="99">
        <v>45845</v>
      </c>
      <c r="G23" s="99">
        <v>45848</v>
      </c>
      <c r="H23" s="102"/>
      <c r="I23" s="98">
        <v>0.79166666666666663</v>
      </c>
      <c r="J23" s="102"/>
      <c r="K23" s="102"/>
      <c r="L23" s="102"/>
      <c r="M23" s="102"/>
      <c r="N23" s="102"/>
      <c r="O23" s="96" t="s">
        <v>451</v>
      </c>
      <c r="P23" s="96" t="s">
        <v>304</v>
      </c>
      <c r="Q23" s="15">
        <v>45</v>
      </c>
      <c r="R23" s="15">
        <v>4</v>
      </c>
      <c r="S23" s="15"/>
      <c r="T23" s="100"/>
      <c r="U23" s="15"/>
      <c r="V23" s="15"/>
      <c r="W23" s="15"/>
      <c r="X23" s="96"/>
      <c r="Y23" s="69">
        <f ca="1">Table24[[#This Row],[End Date]]+2-TODAY()</f>
        <v>73</v>
      </c>
      <c r="Z23" s="15">
        <f>IF(ISBLANK(Table24[[#This Row],[Roster Received By]]),1,0)</f>
        <v>1</v>
      </c>
      <c r="AA23" s="15">
        <f ca="1">IF(Table24[[#This Row],[Start Date]]&gt;TODAY(),1,)</f>
        <v>1</v>
      </c>
    </row>
    <row r="24" spans="1:27" s="135" customFormat="1" ht="14.25" customHeight="1" x14ac:dyDescent="0.25">
      <c r="A24" s="148" t="s">
        <v>454</v>
      </c>
      <c r="B24" s="149" t="s">
        <v>59</v>
      </c>
      <c r="C24" s="150" t="s">
        <v>138</v>
      </c>
      <c r="D24" s="150" t="s">
        <v>139</v>
      </c>
      <c r="E24" s="149"/>
      <c r="F24" s="151">
        <v>45859</v>
      </c>
      <c r="G24" s="151">
        <v>45862</v>
      </c>
      <c r="H24" s="154"/>
      <c r="I24" s="154">
        <v>0.33333333333333331</v>
      </c>
      <c r="J24" s="151"/>
      <c r="K24" s="151"/>
      <c r="L24" s="151"/>
      <c r="M24" s="151"/>
      <c r="N24" s="151"/>
      <c r="O24" s="149" t="s">
        <v>451</v>
      </c>
      <c r="P24" s="149" t="s">
        <v>304</v>
      </c>
      <c r="Q24" s="153">
        <v>45</v>
      </c>
      <c r="R24" s="153">
        <v>4</v>
      </c>
      <c r="S24" s="15"/>
      <c r="T24" s="100"/>
      <c r="U24" s="15"/>
      <c r="V24" s="15"/>
      <c r="W24" s="15"/>
      <c r="X24" s="96"/>
      <c r="Y24" s="69">
        <f ca="1">Table24[[#This Row],[End Date]]+2-TODAY()</f>
        <v>87</v>
      </c>
      <c r="Z24" s="15">
        <f>IF(ISBLANK(Table24[[#This Row],[Roster Received By]]),1,0)</f>
        <v>1</v>
      </c>
      <c r="AA24" s="15">
        <f ca="1">IF(Table24[[#This Row],[Start Date]]&gt;TODAY(),1,)</f>
        <v>1</v>
      </c>
    </row>
    <row r="25" spans="1:27" s="103" customFormat="1" ht="16.5" customHeight="1" x14ac:dyDescent="0.25">
      <c r="A25" s="97"/>
      <c r="B25" s="96" t="s">
        <v>59</v>
      </c>
      <c r="C25" s="97" t="s">
        <v>138</v>
      </c>
      <c r="D25" s="97" t="s">
        <v>139</v>
      </c>
      <c r="E25" s="96"/>
      <c r="F25" s="66">
        <v>45873</v>
      </c>
      <c r="G25" s="66">
        <v>45876</v>
      </c>
      <c r="H25" s="66"/>
      <c r="I25" s="98">
        <v>0.45833333333333331</v>
      </c>
      <c r="J25" s="98"/>
      <c r="K25" s="98"/>
      <c r="L25" s="98"/>
      <c r="M25" s="98"/>
      <c r="N25" s="98"/>
      <c r="O25" s="96" t="s">
        <v>451</v>
      </c>
      <c r="P25" s="96" t="s">
        <v>304</v>
      </c>
      <c r="Q25" s="15">
        <v>45</v>
      </c>
      <c r="R25" s="15">
        <v>4</v>
      </c>
      <c r="S25" s="104"/>
      <c r="T25" s="100"/>
      <c r="U25" s="15"/>
      <c r="V25" s="15"/>
      <c r="W25" s="15"/>
      <c r="X25" s="96"/>
      <c r="Y25" s="69">
        <f ca="1">Table24[[#This Row],[End Date]]+2-TODAY()</f>
        <v>101</v>
      </c>
      <c r="Z25" s="15">
        <f>IF(ISBLANK(Table24[[#This Row],[Roster Received By]]),1,0)</f>
        <v>1</v>
      </c>
      <c r="AA25" s="15">
        <f ca="1">IF(Table24[[#This Row],[Start Date]]&gt;TODAY(),1,)</f>
        <v>1</v>
      </c>
    </row>
    <row r="26" spans="1:27" s="103" customFormat="1" ht="16.5" customHeight="1" x14ac:dyDescent="0.25">
      <c r="A26" s="97"/>
      <c r="B26" s="96" t="s">
        <v>59</v>
      </c>
      <c r="C26" s="97" t="s">
        <v>138</v>
      </c>
      <c r="D26" s="97" t="s">
        <v>139</v>
      </c>
      <c r="E26" s="96"/>
      <c r="F26" s="66">
        <v>45880</v>
      </c>
      <c r="G26" s="66">
        <v>45883</v>
      </c>
      <c r="H26" s="66"/>
      <c r="I26" s="98">
        <v>0.54166666666666663</v>
      </c>
      <c r="J26" s="98"/>
      <c r="K26" s="98"/>
      <c r="L26" s="98"/>
      <c r="M26" s="98"/>
      <c r="N26" s="98"/>
      <c r="O26" s="96" t="s">
        <v>451</v>
      </c>
      <c r="P26" s="96" t="s">
        <v>304</v>
      </c>
      <c r="Q26" s="15">
        <v>45</v>
      </c>
      <c r="R26" s="15">
        <v>4</v>
      </c>
      <c r="S26" s="213"/>
      <c r="T26" s="100"/>
      <c r="U26" s="15"/>
      <c r="V26" s="15"/>
      <c r="W26" s="15"/>
      <c r="X26" s="96"/>
      <c r="Y26" s="69">
        <f ca="1">Table24[[#This Row],[End Date]]+2-TODAY()</f>
        <v>108</v>
      </c>
      <c r="Z26" s="15">
        <f>IF(ISBLANK(Table24[[#This Row],[Roster Received By]]),1,0)</f>
        <v>1</v>
      </c>
      <c r="AA26" s="15">
        <f ca="1">IF(Table24[[#This Row],[Start Date]]&gt;TODAY(),1,)</f>
        <v>1</v>
      </c>
    </row>
    <row r="27" spans="1:27" s="103" customFormat="1" ht="16.5" customHeight="1" x14ac:dyDescent="0.25">
      <c r="A27" s="61"/>
      <c r="B27" s="96" t="s">
        <v>59</v>
      </c>
      <c r="C27" s="97" t="s">
        <v>138</v>
      </c>
      <c r="D27" s="97" t="s">
        <v>139</v>
      </c>
      <c r="E27" s="96"/>
      <c r="F27" s="66">
        <v>45887</v>
      </c>
      <c r="G27" s="66">
        <v>45890</v>
      </c>
      <c r="H27" s="66"/>
      <c r="I27" s="98">
        <v>0.41666666666666669</v>
      </c>
      <c r="J27" s="98"/>
      <c r="K27" s="98"/>
      <c r="L27" s="98"/>
      <c r="M27" s="98"/>
      <c r="N27" s="98"/>
      <c r="O27" s="96" t="s">
        <v>451</v>
      </c>
      <c r="P27" s="96" t="s">
        <v>304</v>
      </c>
      <c r="Q27" s="15">
        <v>45</v>
      </c>
      <c r="R27" s="15">
        <v>4</v>
      </c>
      <c r="S27" s="15"/>
      <c r="T27" s="100"/>
      <c r="U27" s="15"/>
      <c r="V27" s="15"/>
      <c r="W27" s="15"/>
      <c r="X27" s="96"/>
      <c r="Y27" s="69">
        <f ca="1">Table24[[#This Row],[End Date]]+2-TODAY()</f>
        <v>115</v>
      </c>
      <c r="Z27" s="15">
        <f>IF(ISBLANK(Table24[[#This Row],[Roster Received By]]),1,0)</f>
        <v>1</v>
      </c>
      <c r="AA27" s="15">
        <f ca="1">IF(Table24[[#This Row],[Start Date]]&gt;TODAY(),1,)</f>
        <v>1</v>
      </c>
    </row>
    <row r="28" spans="1:27" s="103" customFormat="1" ht="14.25" customHeight="1" x14ac:dyDescent="0.25">
      <c r="A28" s="61"/>
      <c r="B28" s="96" t="s">
        <v>59</v>
      </c>
      <c r="C28" s="97" t="s">
        <v>138</v>
      </c>
      <c r="D28" s="97" t="s">
        <v>139</v>
      </c>
      <c r="E28" s="96"/>
      <c r="F28" s="66">
        <v>45902</v>
      </c>
      <c r="G28" s="66">
        <v>45905</v>
      </c>
      <c r="H28" s="66"/>
      <c r="I28" s="98">
        <v>0.33333333333333331</v>
      </c>
      <c r="J28" s="98"/>
      <c r="K28" s="98"/>
      <c r="L28" s="98"/>
      <c r="M28" s="98"/>
      <c r="N28" s="98"/>
      <c r="O28" s="96" t="s">
        <v>451</v>
      </c>
      <c r="P28" s="96" t="s">
        <v>304</v>
      </c>
      <c r="Q28" s="15">
        <v>45</v>
      </c>
      <c r="R28" s="15">
        <v>4</v>
      </c>
      <c r="S28" s="15"/>
      <c r="T28" s="100"/>
      <c r="U28" s="15"/>
      <c r="V28" s="15"/>
      <c r="W28" s="15"/>
      <c r="X28" s="96"/>
      <c r="Y28" s="69">
        <f ca="1">Table24[[#This Row],[End Date]]+2-TODAY()</f>
        <v>130</v>
      </c>
      <c r="Z28" s="15">
        <f>IF(ISBLANK(Table24[[#This Row],[Roster Received By]]),1,0)</f>
        <v>1</v>
      </c>
      <c r="AA28" s="15">
        <f ca="1">IF(Table24[[#This Row],[Start Date]]&gt;TODAY(),1,)</f>
        <v>1</v>
      </c>
    </row>
    <row r="29" spans="1:27" s="103" customFormat="1" ht="14.25" customHeight="1" x14ac:dyDescent="0.25">
      <c r="A29" s="61"/>
      <c r="B29" s="96" t="s">
        <v>59</v>
      </c>
      <c r="C29" s="97" t="s">
        <v>138</v>
      </c>
      <c r="D29" s="97" t="s">
        <v>139</v>
      </c>
      <c r="E29" s="96"/>
      <c r="F29" s="99">
        <v>45915</v>
      </c>
      <c r="G29" s="99">
        <v>45918</v>
      </c>
      <c r="H29" s="99"/>
      <c r="I29" s="98">
        <v>0.54166666666666663</v>
      </c>
      <c r="J29" s="98"/>
      <c r="K29" s="98"/>
      <c r="L29" s="98"/>
      <c r="M29" s="98"/>
      <c r="N29" s="98"/>
      <c r="O29" s="96" t="s">
        <v>451</v>
      </c>
      <c r="P29" s="96" t="s">
        <v>304</v>
      </c>
      <c r="Q29" s="15">
        <v>45</v>
      </c>
      <c r="R29" s="15">
        <v>4</v>
      </c>
      <c r="S29" s="15"/>
      <c r="T29" s="100"/>
      <c r="U29" s="15"/>
      <c r="V29" s="15"/>
      <c r="W29" s="15"/>
      <c r="X29" s="96"/>
      <c r="Y29" s="69">
        <f ca="1">Table24[[#This Row],[End Date]]+2-TODAY()</f>
        <v>143</v>
      </c>
      <c r="Z29" s="15">
        <f>IF(ISBLANK(Table24[[#This Row],[Roster Received By]]),1,0)</f>
        <v>1</v>
      </c>
      <c r="AA29" s="15">
        <f ca="1">IF(Table24[[#This Row],[Start Date]]&gt;TODAY(),1,)</f>
        <v>1</v>
      </c>
    </row>
    <row r="30" spans="1:27" s="103" customFormat="1" ht="14.25" customHeight="1" x14ac:dyDescent="0.25">
      <c r="A30" s="61"/>
      <c r="B30" s="96" t="s">
        <v>59</v>
      </c>
      <c r="C30" s="97" t="s">
        <v>138</v>
      </c>
      <c r="D30" s="97" t="s">
        <v>139</v>
      </c>
      <c r="E30" s="96"/>
      <c r="F30" s="66">
        <v>45929</v>
      </c>
      <c r="G30" s="66">
        <v>45932</v>
      </c>
      <c r="H30" s="66"/>
      <c r="I30" s="98">
        <v>0.33333333333333331</v>
      </c>
      <c r="J30" s="98"/>
      <c r="K30" s="98"/>
      <c r="L30" s="98"/>
      <c r="M30" s="98"/>
      <c r="N30" s="98"/>
      <c r="O30" s="96" t="s">
        <v>451</v>
      </c>
      <c r="P30" s="96" t="s">
        <v>304</v>
      </c>
      <c r="Q30" s="15">
        <v>45</v>
      </c>
      <c r="R30" s="15">
        <v>4</v>
      </c>
      <c r="S30" s="15"/>
      <c r="T30" s="100"/>
      <c r="U30" s="15"/>
      <c r="V30" s="15"/>
      <c r="W30" s="97"/>
      <c r="X30" s="96"/>
      <c r="Y30" s="69">
        <f ca="1">Table24[[#This Row],[End Date]]+2-TODAY()</f>
        <v>157</v>
      </c>
      <c r="Z30" s="15">
        <f>IF(ISBLANK(Table24[[#This Row],[Roster Received By]]),1,0)</f>
        <v>1</v>
      </c>
      <c r="AA30" s="15">
        <f ca="1">IF(Table24[[#This Row],[Start Date]]&gt;TODAY(),1,)</f>
        <v>1</v>
      </c>
    </row>
    <row r="31" spans="1:27" s="103" customFormat="1" ht="16.5" customHeight="1" x14ac:dyDescent="0.25">
      <c r="A31" s="61"/>
      <c r="B31" s="96" t="s">
        <v>61</v>
      </c>
      <c r="C31" s="97" t="s">
        <v>142</v>
      </c>
      <c r="D31" s="97">
        <v>1228</v>
      </c>
      <c r="E31" s="96"/>
      <c r="F31" s="66">
        <v>45566</v>
      </c>
      <c r="G31" s="66">
        <v>45569</v>
      </c>
      <c r="H31" s="66"/>
      <c r="I31" s="105">
        <v>0.41666666666666669</v>
      </c>
      <c r="J31" s="98"/>
      <c r="K31" s="98"/>
      <c r="L31" s="98"/>
      <c r="M31" s="98"/>
      <c r="N31" s="98"/>
      <c r="O31" s="96" t="s">
        <v>304</v>
      </c>
      <c r="P31" s="96" t="s">
        <v>451</v>
      </c>
      <c r="Q31" s="15">
        <v>45</v>
      </c>
      <c r="R31" s="211">
        <v>5</v>
      </c>
      <c r="S31" s="15"/>
      <c r="T31" s="100"/>
      <c r="U31" s="15"/>
      <c r="V31" s="15"/>
      <c r="W31" s="15"/>
      <c r="X31" s="96"/>
      <c r="Y31" s="69">
        <f ca="1">Table24[[#This Row],[End Date]]+2-TODAY()</f>
        <v>-206</v>
      </c>
      <c r="Z31" s="15">
        <f>IF(ISBLANK(Table24[[#This Row],[Roster Received By]]),1,0)</f>
        <v>1</v>
      </c>
      <c r="AA31" s="15">
        <f ca="1">IF(Table24[[#This Row],[Start Date]]&gt;TODAY(),1,)</f>
        <v>0</v>
      </c>
    </row>
    <row r="32" spans="1:27" s="103" customFormat="1" ht="16.5" customHeight="1" x14ac:dyDescent="0.25">
      <c r="A32" s="61"/>
      <c r="B32" s="96" t="s">
        <v>61</v>
      </c>
      <c r="C32" s="97" t="s">
        <v>142</v>
      </c>
      <c r="D32" s="97">
        <v>1228</v>
      </c>
      <c r="E32" s="64"/>
      <c r="F32" s="99">
        <v>45580</v>
      </c>
      <c r="G32" s="99">
        <v>45583</v>
      </c>
      <c r="H32" s="102"/>
      <c r="I32" s="98">
        <v>1300.5416666666667</v>
      </c>
      <c r="J32" s="99"/>
      <c r="K32" s="99"/>
      <c r="L32" s="99"/>
      <c r="M32" s="99"/>
      <c r="N32" s="99"/>
      <c r="O32" s="96" t="s">
        <v>304</v>
      </c>
      <c r="P32" s="96" t="s">
        <v>451</v>
      </c>
      <c r="Q32" s="15">
        <v>45</v>
      </c>
      <c r="R32" s="211">
        <v>5</v>
      </c>
      <c r="S32" s="15"/>
      <c r="T32" s="100"/>
      <c r="U32" s="15"/>
      <c r="V32" s="15"/>
      <c r="W32" s="15"/>
      <c r="X32" s="96"/>
      <c r="Y32" s="69">
        <f ca="1">Table24[[#This Row],[End Date]]+2-TODAY()</f>
        <v>-192</v>
      </c>
      <c r="Z32" s="15">
        <f>IF(ISBLANK(Table24[[#This Row],[Roster Received By]]),1,0)</f>
        <v>1</v>
      </c>
      <c r="AA32" s="15">
        <f ca="1">IF(Table24[[#This Row],[Start Date]]&gt;TODAY(),1,)</f>
        <v>0</v>
      </c>
    </row>
    <row r="33" spans="1:27" s="103" customFormat="1" ht="14.25" customHeight="1" x14ac:dyDescent="0.25">
      <c r="A33" s="61"/>
      <c r="B33" s="96" t="s">
        <v>61</v>
      </c>
      <c r="C33" s="97" t="s">
        <v>142</v>
      </c>
      <c r="D33" s="97">
        <v>1228</v>
      </c>
      <c r="E33" s="96"/>
      <c r="F33" s="107">
        <v>45593</v>
      </c>
      <c r="G33" s="107">
        <v>45596</v>
      </c>
      <c r="H33" s="105"/>
      <c r="I33" s="102">
        <v>800.33333333333337</v>
      </c>
      <c r="J33" s="99"/>
      <c r="K33" s="99"/>
      <c r="L33" s="99"/>
      <c r="M33" s="99"/>
      <c r="N33" s="99"/>
      <c r="O33" s="96" t="s">
        <v>304</v>
      </c>
      <c r="P33" s="96" t="s">
        <v>451</v>
      </c>
      <c r="Q33" s="15">
        <v>45</v>
      </c>
      <c r="R33" s="211">
        <v>5</v>
      </c>
      <c r="S33" s="100"/>
      <c r="T33" s="100"/>
      <c r="U33" s="15"/>
      <c r="V33" s="15"/>
      <c r="W33" s="15"/>
      <c r="X33" s="96"/>
      <c r="Y33" s="69">
        <f ca="1">Table24[[#This Row],[End Date]]+2-TODAY()</f>
        <v>-179</v>
      </c>
      <c r="Z33" s="15">
        <f>IF(ISBLANK(Table24[[#This Row],[Roster Received By]]),1,0)</f>
        <v>1</v>
      </c>
      <c r="AA33" s="15">
        <f ca="1">IF(Table24[[#This Row],[Start Date]]&gt;TODAY(),1,)</f>
        <v>0</v>
      </c>
    </row>
    <row r="34" spans="1:27" s="103" customFormat="1" ht="14.25" customHeight="1" x14ac:dyDescent="0.25">
      <c r="A34" s="61"/>
      <c r="B34" s="96" t="s">
        <v>61</v>
      </c>
      <c r="C34" s="97" t="s">
        <v>142</v>
      </c>
      <c r="D34" s="97">
        <v>1228</v>
      </c>
      <c r="E34" s="96"/>
      <c r="F34" s="99">
        <v>45600</v>
      </c>
      <c r="G34" s="99">
        <v>45603</v>
      </c>
      <c r="H34" s="102"/>
      <c r="I34" s="98">
        <v>1000.4166666666666</v>
      </c>
      <c r="J34" s="102"/>
      <c r="K34" s="102"/>
      <c r="L34" s="102"/>
      <c r="M34" s="102"/>
      <c r="N34" s="102"/>
      <c r="O34" s="96" t="s">
        <v>304</v>
      </c>
      <c r="P34" s="96" t="s">
        <v>451</v>
      </c>
      <c r="Q34" s="15">
        <v>45</v>
      </c>
      <c r="R34" s="211">
        <v>5</v>
      </c>
      <c r="S34" s="15"/>
      <c r="T34" s="100"/>
      <c r="U34" s="15"/>
      <c r="V34" s="15"/>
      <c r="W34" s="15"/>
      <c r="X34" s="96"/>
      <c r="Y34" s="69">
        <f ca="1">Table24[[#This Row],[End Date]]+2-TODAY()</f>
        <v>-172</v>
      </c>
      <c r="Z34" s="15">
        <f>IF(ISBLANK(Table24[[#This Row],[Roster Received By]]),1,0)</f>
        <v>1</v>
      </c>
      <c r="AA34" s="15">
        <f ca="1">IF(Table24[[#This Row],[Start Date]]&gt;TODAY(),1,)</f>
        <v>0</v>
      </c>
    </row>
    <row r="35" spans="1:27" s="103" customFormat="1" ht="14.25" customHeight="1" x14ac:dyDescent="0.25">
      <c r="A35" s="61"/>
      <c r="B35" s="96" t="s">
        <v>61</v>
      </c>
      <c r="C35" s="97" t="s">
        <v>142</v>
      </c>
      <c r="D35" s="97">
        <v>1228</v>
      </c>
      <c r="E35" s="96"/>
      <c r="F35" s="99">
        <v>45979</v>
      </c>
      <c r="G35" s="99">
        <v>45982</v>
      </c>
      <c r="H35" s="102"/>
      <c r="I35" s="105">
        <v>700.29166666666663</v>
      </c>
      <c r="J35" s="102"/>
      <c r="K35" s="102"/>
      <c r="L35" s="102"/>
      <c r="M35" s="102"/>
      <c r="N35" s="102"/>
      <c r="O35" s="96" t="s">
        <v>304</v>
      </c>
      <c r="P35" s="96" t="s">
        <v>451</v>
      </c>
      <c r="Q35" s="15">
        <v>45</v>
      </c>
      <c r="R35" s="211">
        <v>5</v>
      </c>
      <c r="S35" s="100"/>
      <c r="T35" s="100"/>
      <c r="U35" s="15"/>
      <c r="V35" s="15"/>
      <c r="W35" s="15"/>
      <c r="X35" s="96"/>
      <c r="Y35" s="69">
        <f ca="1">Table24[[#This Row],[End Date]]+2-TODAY()</f>
        <v>207</v>
      </c>
      <c r="Z35" s="15">
        <f>IF(ISBLANK(Table24[[#This Row],[Roster Received By]]),1,0)</f>
        <v>1</v>
      </c>
      <c r="AA35" s="15">
        <f ca="1">IF(Table24[[#This Row],[Start Date]]&gt;TODAY(),1,)</f>
        <v>1</v>
      </c>
    </row>
    <row r="36" spans="1:27" s="103" customFormat="1" ht="14.25" customHeight="1" x14ac:dyDescent="0.25">
      <c r="A36" s="61"/>
      <c r="B36" s="96" t="s">
        <v>61</v>
      </c>
      <c r="C36" s="97" t="s">
        <v>142</v>
      </c>
      <c r="D36" s="97">
        <v>1228</v>
      </c>
      <c r="E36" s="96"/>
      <c r="F36" s="99">
        <v>46000</v>
      </c>
      <c r="G36" s="99">
        <v>46003</v>
      </c>
      <c r="H36" s="102"/>
      <c r="I36" s="98">
        <v>0.33333333333333331</v>
      </c>
      <c r="J36" s="99"/>
      <c r="K36" s="99"/>
      <c r="L36" s="99"/>
      <c r="M36" s="99"/>
      <c r="N36" s="99"/>
      <c r="O36" s="96" t="s">
        <v>304</v>
      </c>
      <c r="P36" s="96" t="s">
        <v>451</v>
      </c>
      <c r="Q36" s="15">
        <v>45</v>
      </c>
      <c r="R36" s="211">
        <v>5</v>
      </c>
      <c r="S36" s="15"/>
      <c r="T36" s="100"/>
      <c r="U36" s="15"/>
      <c r="V36" s="15"/>
      <c r="W36" s="15"/>
      <c r="X36" s="96"/>
      <c r="Y36" s="69">
        <f ca="1">Table24[[#This Row],[End Date]]+2-TODAY()</f>
        <v>228</v>
      </c>
      <c r="Z36" s="15">
        <f>IF(ISBLANK(Table24[[#This Row],[Roster Received By]]),1,0)</f>
        <v>1</v>
      </c>
      <c r="AA36" s="15">
        <f ca="1">IF(Table24[[#This Row],[Start Date]]&gt;TODAY(),1,)</f>
        <v>1</v>
      </c>
    </row>
    <row r="37" spans="1:27" s="136" customFormat="1" ht="14.25" customHeight="1" x14ac:dyDescent="0.25">
      <c r="A37" s="61"/>
      <c r="B37" s="96" t="s">
        <v>61</v>
      </c>
      <c r="C37" s="97" t="s">
        <v>142</v>
      </c>
      <c r="D37" s="97" t="s">
        <v>147</v>
      </c>
      <c r="E37" s="96"/>
      <c r="F37" s="99">
        <v>45684</v>
      </c>
      <c r="G37" s="99">
        <v>45321</v>
      </c>
      <c r="H37" s="99"/>
      <c r="I37" s="98">
        <v>1300.5416666666667</v>
      </c>
      <c r="J37" s="98"/>
      <c r="K37" s="98"/>
      <c r="L37" s="98"/>
      <c r="M37" s="98"/>
      <c r="N37" s="98"/>
      <c r="O37" s="96" t="s">
        <v>304</v>
      </c>
      <c r="P37" s="96" t="s">
        <v>451</v>
      </c>
      <c r="Q37" s="15">
        <v>45</v>
      </c>
      <c r="R37" s="211">
        <v>5</v>
      </c>
      <c r="S37" s="15"/>
      <c r="T37" s="100"/>
      <c r="U37" s="15"/>
      <c r="V37" s="15"/>
      <c r="W37" s="15"/>
      <c r="X37" s="96"/>
      <c r="Y37" s="69">
        <f ca="1">Table24[[#This Row],[End Date]]+2-TODAY()</f>
        <v>-454</v>
      </c>
      <c r="Z37" s="15">
        <f>IF(ISBLANK(Table24[[#This Row],[Roster Received By]]),1,0)</f>
        <v>1</v>
      </c>
      <c r="AA37" s="15">
        <f ca="1">IF(Table24[[#This Row],[Start Date]]&gt;TODAY(),1,)</f>
        <v>0</v>
      </c>
    </row>
    <row r="38" spans="1:27" s="132" customFormat="1" ht="14.25" customHeight="1" x14ac:dyDescent="0.25">
      <c r="A38" s="61"/>
      <c r="B38" s="96" t="s">
        <v>61</v>
      </c>
      <c r="C38" s="97" t="s">
        <v>142</v>
      </c>
      <c r="D38" s="97">
        <v>1228</v>
      </c>
      <c r="E38" s="96"/>
      <c r="F38" s="99">
        <v>45698</v>
      </c>
      <c r="G38" s="99">
        <v>45701</v>
      </c>
      <c r="H38" s="99"/>
      <c r="I38" s="98">
        <v>800.33333333333337</v>
      </c>
      <c r="J38" s="98"/>
      <c r="K38" s="98"/>
      <c r="L38" s="98"/>
      <c r="M38" s="98"/>
      <c r="N38" s="98"/>
      <c r="O38" s="96" t="s">
        <v>304</v>
      </c>
      <c r="P38" s="96" t="s">
        <v>451</v>
      </c>
      <c r="Q38" s="15">
        <v>45</v>
      </c>
      <c r="R38" s="211">
        <v>5</v>
      </c>
      <c r="S38" s="15"/>
      <c r="T38" s="100"/>
      <c r="U38" s="15"/>
      <c r="V38" s="15"/>
      <c r="W38" s="100"/>
      <c r="X38" s="96"/>
      <c r="Y38" s="69">
        <f ca="1">Table24[[#This Row],[End Date]]+2-TODAY()</f>
        <v>-74</v>
      </c>
      <c r="Z38" s="15">
        <f>IF(ISBLANK(Table24[[#This Row],[Roster Received By]]),1,0)</f>
        <v>1</v>
      </c>
      <c r="AA38" s="15">
        <f ca="1">IF(Table24[[#This Row],[Start Date]]&gt;TODAY(),1,)</f>
        <v>0</v>
      </c>
    </row>
    <row r="39" spans="1:27" s="132" customFormat="1" ht="14.25" customHeight="1" x14ac:dyDescent="0.25">
      <c r="A39" s="61"/>
      <c r="B39" s="96" t="s">
        <v>61</v>
      </c>
      <c r="C39" s="97" t="s">
        <v>142</v>
      </c>
      <c r="D39" s="97" t="s">
        <v>149</v>
      </c>
      <c r="E39" s="64"/>
      <c r="F39" s="99">
        <v>45712</v>
      </c>
      <c r="G39" s="99">
        <v>45715</v>
      </c>
      <c r="H39" s="105"/>
      <c r="I39" s="98">
        <v>1900.7916666666667</v>
      </c>
      <c r="J39" s="99"/>
      <c r="K39" s="99"/>
      <c r="L39" s="99"/>
      <c r="M39" s="99"/>
      <c r="N39" s="99"/>
      <c r="O39" s="96" t="s">
        <v>304</v>
      </c>
      <c r="P39" s="96" t="s">
        <v>451</v>
      </c>
      <c r="Q39" s="15">
        <v>45</v>
      </c>
      <c r="R39" s="211">
        <v>5</v>
      </c>
      <c r="S39" s="15"/>
      <c r="T39" s="100"/>
      <c r="U39" s="15"/>
      <c r="V39" s="15"/>
      <c r="W39" s="100"/>
      <c r="X39" s="96"/>
      <c r="Y39" s="69">
        <f ca="1">Table24[[#This Row],[End Date]]+2-TODAY()</f>
        <v>-60</v>
      </c>
      <c r="Z39" s="15">
        <f>IF(ISBLANK(Table24[[#This Row],[Roster Received By]]),1,0)</f>
        <v>1</v>
      </c>
      <c r="AA39" s="15">
        <f ca="1">IF(Table24[[#This Row],[Start Date]]&gt;TODAY(),1,)</f>
        <v>0</v>
      </c>
    </row>
    <row r="40" spans="1:27" s="103" customFormat="1" ht="14.25" customHeight="1" x14ac:dyDescent="0.25">
      <c r="A40" s="61"/>
      <c r="B40" s="96" t="s">
        <v>61</v>
      </c>
      <c r="C40" s="97" t="s">
        <v>142</v>
      </c>
      <c r="D40" s="97">
        <v>1228</v>
      </c>
      <c r="E40" s="96"/>
      <c r="F40" s="99">
        <v>45726</v>
      </c>
      <c r="G40" s="99">
        <v>45729</v>
      </c>
      <c r="H40" s="99"/>
      <c r="I40" s="98">
        <v>700.29166666666663</v>
      </c>
      <c r="J40" s="98"/>
      <c r="K40" s="98"/>
      <c r="L40" s="98"/>
      <c r="M40" s="98"/>
      <c r="N40" s="98"/>
      <c r="O40" s="96" t="s">
        <v>304</v>
      </c>
      <c r="P40" s="96" t="s">
        <v>451</v>
      </c>
      <c r="Q40" s="15">
        <v>45</v>
      </c>
      <c r="R40" s="211">
        <v>5</v>
      </c>
      <c r="S40" s="15"/>
      <c r="T40" s="100"/>
      <c r="U40" s="15"/>
      <c r="V40" s="15"/>
      <c r="W40" s="15"/>
      <c r="X40" s="96"/>
      <c r="Y40" s="69">
        <f ca="1">Table24[[#This Row],[End Date]]+2-TODAY()</f>
        <v>-46</v>
      </c>
      <c r="Z40" s="15">
        <f>IF(ISBLANK(Table24[[#This Row],[Roster Received By]]),1,0)</f>
        <v>1</v>
      </c>
      <c r="AA40" s="15">
        <f ca="1">IF(Table24[[#This Row],[Start Date]]&gt;TODAY(),1,)</f>
        <v>0</v>
      </c>
    </row>
    <row r="41" spans="1:27" s="103" customFormat="1" ht="14.25" customHeight="1" x14ac:dyDescent="0.25">
      <c r="A41" s="61"/>
      <c r="B41" s="96" t="s">
        <v>61</v>
      </c>
      <c r="C41" s="97" t="s">
        <v>142</v>
      </c>
      <c r="D41" s="97">
        <v>1228</v>
      </c>
      <c r="E41" s="96"/>
      <c r="F41" s="99">
        <v>45740</v>
      </c>
      <c r="G41" s="99">
        <v>45743</v>
      </c>
      <c r="H41" s="99"/>
      <c r="I41" s="98">
        <v>0.33333333333333331</v>
      </c>
      <c r="J41" s="98"/>
      <c r="K41" s="98"/>
      <c r="L41" s="98"/>
      <c r="M41" s="98"/>
      <c r="N41" s="98"/>
      <c r="O41" s="96" t="s">
        <v>304</v>
      </c>
      <c r="P41" s="96" t="s">
        <v>451</v>
      </c>
      <c r="Q41" s="15">
        <v>45</v>
      </c>
      <c r="R41" s="211">
        <v>5</v>
      </c>
      <c r="S41" s="15"/>
      <c r="T41" s="100"/>
      <c r="U41" s="15"/>
      <c r="V41" s="15"/>
      <c r="W41" s="15"/>
      <c r="X41" s="96"/>
      <c r="Y41" s="69">
        <f ca="1">Table24[[#This Row],[End Date]]+2-TODAY()</f>
        <v>-32</v>
      </c>
      <c r="Z41" s="15">
        <f>IF(ISBLANK(Table24[[#This Row],[Roster Received By]]),1,0)</f>
        <v>1</v>
      </c>
      <c r="AA41" s="15">
        <f ca="1">IF(Table24[[#This Row],[Start Date]]&gt;TODAY(),1,)</f>
        <v>0</v>
      </c>
    </row>
    <row r="42" spans="1:27" s="103" customFormat="1" ht="14.25" customHeight="1" x14ac:dyDescent="0.25">
      <c r="A42" s="61"/>
      <c r="B42" s="96" t="s">
        <v>61</v>
      </c>
      <c r="C42" s="97" t="s">
        <v>142</v>
      </c>
      <c r="D42" s="97">
        <v>1228</v>
      </c>
      <c r="E42" s="96"/>
      <c r="F42" s="99">
        <v>45754</v>
      </c>
      <c r="G42" s="99">
        <v>45757</v>
      </c>
      <c r="H42" s="105"/>
      <c r="I42" s="102">
        <v>1100.4583333333333</v>
      </c>
      <c r="J42" s="99"/>
      <c r="K42" s="99"/>
      <c r="L42" s="99"/>
      <c r="M42" s="99"/>
      <c r="N42" s="99"/>
      <c r="O42" s="96" t="s">
        <v>304</v>
      </c>
      <c r="P42" s="96" t="s">
        <v>451</v>
      </c>
      <c r="Q42" s="15">
        <v>45</v>
      </c>
      <c r="R42" s="211">
        <v>5</v>
      </c>
      <c r="S42" s="15"/>
      <c r="T42" s="100"/>
      <c r="U42" s="15"/>
      <c r="V42" s="15"/>
      <c r="W42" s="15"/>
      <c r="X42" s="96"/>
      <c r="Y42" s="69">
        <f ca="1">Table24[[#This Row],[End Date]]+2-TODAY()</f>
        <v>-18</v>
      </c>
      <c r="Z42" s="15">
        <f>IF(ISBLANK(Table24[[#This Row],[Roster Received By]]),1,0)</f>
        <v>1</v>
      </c>
      <c r="AA42" s="15">
        <f ca="1">IF(Table24[[#This Row],[Start Date]]&gt;TODAY(),1,)</f>
        <v>0</v>
      </c>
    </row>
    <row r="43" spans="1:27" s="103" customFormat="1" ht="14.25" customHeight="1" x14ac:dyDescent="0.25">
      <c r="A43" s="96"/>
      <c r="B43" s="96" t="s">
        <v>61</v>
      </c>
      <c r="C43" s="97" t="s">
        <v>142</v>
      </c>
      <c r="D43" s="97">
        <v>1228</v>
      </c>
      <c r="E43" s="96"/>
      <c r="F43" s="99">
        <v>45775</v>
      </c>
      <c r="G43" s="99">
        <v>45778</v>
      </c>
      <c r="H43" s="99"/>
      <c r="I43" s="98">
        <v>0.33333333333333331</v>
      </c>
      <c r="J43" s="98"/>
      <c r="K43" s="98"/>
      <c r="L43" s="98"/>
      <c r="M43" s="98"/>
      <c r="N43" s="98"/>
      <c r="O43" s="96" t="s">
        <v>304</v>
      </c>
      <c r="P43" s="96" t="s">
        <v>451</v>
      </c>
      <c r="Q43" s="15">
        <v>45</v>
      </c>
      <c r="R43" s="211">
        <v>5</v>
      </c>
      <c r="S43" s="15"/>
      <c r="T43" s="100"/>
      <c r="U43" s="15"/>
      <c r="V43" s="15"/>
      <c r="W43" s="15"/>
      <c r="X43" s="96"/>
      <c r="Y43" s="69">
        <f ca="1">Table24[[#This Row],[End Date]]+2-TODAY()</f>
        <v>3</v>
      </c>
      <c r="Z43" s="15">
        <f>IF(ISBLANK(Table24[[#This Row],[Roster Received By]]),1,0)</f>
        <v>1</v>
      </c>
      <c r="AA43" s="15">
        <f ca="1">IF(Table24[[#This Row],[Start Date]]&gt;TODAY(),1,)</f>
        <v>0</v>
      </c>
    </row>
    <row r="44" spans="1:27" s="103" customFormat="1" ht="16.5" customHeight="1" x14ac:dyDescent="0.25">
      <c r="A44" s="64"/>
      <c r="B44" s="96" t="s">
        <v>61</v>
      </c>
      <c r="C44" s="97" t="s">
        <v>142</v>
      </c>
      <c r="D44" s="97">
        <v>1228</v>
      </c>
      <c r="E44" s="96"/>
      <c r="F44" s="99">
        <v>45782</v>
      </c>
      <c r="G44" s="99">
        <v>45785</v>
      </c>
      <c r="H44" s="102"/>
      <c r="I44" s="98">
        <v>0.33333333333333331</v>
      </c>
      <c r="J44" s="102"/>
      <c r="K44" s="102"/>
      <c r="L44" s="102"/>
      <c r="M44" s="102"/>
      <c r="N44" s="102"/>
      <c r="O44" s="96" t="s">
        <v>304</v>
      </c>
      <c r="P44" s="96" t="s">
        <v>451</v>
      </c>
      <c r="Q44" s="15">
        <v>45</v>
      </c>
      <c r="R44" s="211">
        <v>5</v>
      </c>
      <c r="S44" s="100"/>
      <c r="T44" s="100"/>
      <c r="U44" s="15"/>
      <c r="V44" s="15"/>
      <c r="W44" s="15"/>
      <c r="X44" s="96"/>
      <c r="Y44" s="69">
        <f ca="1">Table24[[#This Row],[End Date]]+2-TODAY()</f>
        <v>10</v>
      </c>
      <c r="Z44" s="15">
        <f>IF(ISBLANK(Table24[[#This Row],[Roster Received By]]),1,0)</f>
        <v>1</v>
      </c>
      <c r="AA44" s="15">
        <f ca="1">IF(Table24[[#This Row],[Start Date]]&gt;TODAY(),1,)</f>
        <v>1</v>
      </c>
    </row>
    <row r="45" spans="1:27" s="103" customFormat="1" ht="14.25" customHeight="1" x14ac:dyDescent="0.25">
      <c r="A45" s="61"/>
      <c r="B45" s="96" t="s">
        <v>61</v>
      </c>
      <c r="C45" s="97" t="s">
        <v>142</v>
      </c>
      <c r="D45" s="97">
        <v>1228</v>
      </c>
      <c r="E45" s="96"/>
      <c r="F45" s="99">
        <v>45796</v>
      </c>
      <c r="G45" s="99">
        <v>45799</v>
      </c>
      <c r="H45" s="99"/>
      <c r="I45" s="102">
        <v>0.54166666666666663</v>
      </c>
      <c r="J45" s="98"/>
      <c r="K45" s="98"/>
      <c r="L45" s="98"/>
      <c r="M45" s="98"/>
      <c r="N45" s="98"/>
      <c r="O45" s="96" t="s">
        <v>304</v>
      </c>
      <c r="P45" s="96" t="s">
        <v>451</v>
      </c>
      <c r="Q45" s="15">
        <v>45</v>
      </c>
      <c r="R45" s="211">
        <v>5</v>
      </c>
      <c r="S45" s="15"/>
      <c r="T45" s="100"/>
      <c r="U45" s="15"/>
      <c r="V45" s="15"/>
      <c r="W45" s="15"/>
      <c r="X45" s="96"/>
      <c r="Y45" s="69">
        <f ca="1">Table24[[#This Row],[End Date]]+2-TODAY()</f>
        <v>24</v>
      </c>
      <c r="Z45" s="15">
        <f>IF(ISBLANK(Table24[[#This Row],[Roster Received By]]),1,0)</f>
        <v>1</v>
      </c>
      <c r="AA45" s="15">
        <f ca="1">IF(Table24[[#This Row],[Start Date]]&gt;TODAY(),1,)</f>
        <v>1</v>
      </c>
    </row>
    <row r="46" spans="1:27" s="103" customFormat="1" ht="16.5" customHeight="1" x14ac:dyDescent="0.25">
      <c r="A46" s="96"/>
      <c r="B46" s="96" t="s">
        <v>61</v>
      </c>
      <c r="C46" s="97" t="s">
        <v>142</v>
      </c>
      <c r="D46" s="97">
        <v>1228</v>
      </c>
      <c r="E46" s="96"/>
      <c r="F46" s="99">
        <v>45817</v>
      </c>
      <c r="G46" s="99">
        <v>45820</v>
      </c>
      <c r="H46" s="99"/>
      <c r="I46" s="98">
        <v>0.29166666666666669</v>
      </c>
      <c r="J46" s="98"/>
      <c r="K46" s="98"/>
      <c r="L46" s="98"/>
      <c r="M46" s="98"/>
      <c r="N46" s="98"/>
      <c r="O46" s="96" t="s">
        <v>304</v>
      </c>
      <c r="P46" s="96" t="s">
        <v>451</v>
      </c>
      <c r="Q46" s="15">
        <v>45</v>
      </c>
      <c r="R46" s="211">
        <v>5</v>
      </c>
      <c r="S46" s="15"/>
      <c r="T46" s="100"/>
      <c r="U46" s="15"/>
      <c r="V46" s="15"/>
      <c r="W46" s="15"/>
      <c r="X46" s="96"/>
      <c r="Y46" s="69">
        <f ca="1">Table24[[#This Row],[End Date]]+2-TODAY()</f>
        <v>45</v>
      </c>
      <c r="Z46" s="15">
        <f>IF(ISBLANK(Table24[[#This Row],[Roster Received By]]),1,0)</f>
        <v>1</v>
      </c>
      <c r="AA46" s="15">
        <f ca="1">IF(Table24[[#This Row],[Start Date]]&gt;TODAY(),1,)</f>
        <v>1</v>
      </c>
    </row>
    <row r="47" spans="1:27" s="132" customFormat="1" ht="14.25" customHeight="1" x14ac:dyDescent="0.25">
      <c r="A47" s="61"/>
      <c r="B47" s="96" t="s">
        <v>61</v>
      </c>
      <c r="C47" s="97" t="s">
        <v>142</v>
      </c>
      <c r="D47" s="97">
        <v>1228</v>
      </c>
      <c r="E47" s="96"/>
      <c r="F47" s="99">
        <v>45831</v>
      </c>
      <c r="G47" s="99">
        <v>45834</v>
      </c>
      <c r="H47" s="99"/>
      <c r="I47" s="98">
        <v>0.79166666666666663</v>
      </c>
      <c r="J47" s="98"/>
      <c r="K47" s="98"/>
      <c r="L47" s="98"/>
      <c r="M47" s="98"/>
      <c r="N47" s="98"/>
      <c r="O47" s="96" t="s">
        <v>304</v>
      </c>
      <c r="P47" s="96" t="s">
        <v>451</v>
      </c>
      <c r="Q47" s="15">
        <v>45</v>
      </c>
      <c r="R47" s="211">
        <v>5</v>
      </c>
      <c r="S47" s="15"/>
      <c r="T47" s="100"/>
      <c r="U47" s="15"/>
      <c r="V47" s="15"/>
      <c r="W47" s="97"/>
      <c r="X47" s="96"/>
      <c r="Y47" s="69">
        <f ca="1">Table24[[#This Row],[End Date]]+2-TODAY()</f>
        <v>59</v>
      </c>
      <c r="Z47" s="15">
        <f>IF(ISBLANK(Table24[[#This Row],[Roster Received By]]),1,0)</f>
        <v>1</v>
      </c>
      <c r="AA47" s="15">
        <f ca="1">IF(Table24[[#This Row],[Start Date]]&gt;TODAY(),1,)</f>
        <v>1</v>
      </c>
    </row>
    <row r="48" spans="1:27" s="103" customFormat="1" ht="14.25" customHeight="1" x14ac:dyDescent="0.25">
      <c r="A48" s="96"/>
      <c r="B48" s="96" t="s">
        <v>61</v>
      </c>
      <c r="C48" s="97" t="s">
        <v>142</v>
      </c>
      <c r="D48" s="97">
        <v>1228</v>
      </c>
      <c r="E48" s="96"/>
      <c r="F48" s="99">
        <v>45852</v>
      </c>
      <c r="G48" s="99">
        <v>45855</v>
      </c>
      <c r="H48" s="102"/>
      <c r="I48" s="98">
        <v>0.33333333333333331</v>
      </c>
      <c r="J48" s="98"/>
      <c r="K48" s="98"/>
      <c r="L48" s="98"/>
      <c r="M48" s="98"/>
      <c r="N48" s="98"/>
      <c r="O48" s="96" t="s">
        <v>304</v>
      </c>
      <c r="P48" s="96" t="s">
        <v>451</v>
      </c>
      <c r="Q48" s="15">
        <v>45</v>
      </c>
      <c r="R48" s="211">
        <v>5</v>
      </c>
      <c r="S48" s="100"/>
      <c r="T48" s="100"/>
      <c r="U48" s="15"/>
      <c r="V48" s="15"/>
      <c r="W48" s="15"/>
      <c r="X48" s="96"/>
      <c r="Y48" s="69">
        <f ca="1">Table24[[#This Row],[End Date]]+2-TODAY()</f>
        <v>80</v>
      </c>
      <c r="Z48" s="15">
        <f>IF(ISBLANK(Table24[[#This Row],[Roster Received By]]),1,0)</f>
        <v>1</v>
      </c>
      <c r="AA48" s="15">
        <f ca="1">IF(Table24[[#This Row],[Start Date]]&gt;TODAY(),1,)</f>
        <v>1</v>
      </c>
    </row>
    <row r="49" spans="1:27" s="103" customFormat="1" ht="14.25" customHeight="1" x14ac:dyDescent="0.25">
      <c r="A49" s="61"/>
      <c r="B49" s="96" t="s">
        <v>61</v>
      </c>
      <c r="C49" s="97" t="s">
        <v>142</v>
      </c>
      <c r="D49" s="97">
        <v>1228</v>
      </c>
      <c r="E49" s="96"/>
      <c r="F49" s="99">
        <v>45866</v>
      </c>
      <c r="G49" s="99">
        <v>45869</v>
      </c>
      <c r="H49" s="99"/>
      <c r="I49" s="98">
        <v>0.45833333333333331</v>
      </c>
      <c r="J49" s="98"/>
      <c r="K49" s="98"/>
      <c r="L49" s="98"/>
      <c r="M49" s="98"/>
      <c r="N49" s="98"/>
      <c r="O49" s="96" t="s">
        <v>304</v>
      </c>
      <c r="P49" s="96" t="s">
        <v>451</v>
      </c>
      <c r="Q49" s="15">
        <v>45</v>
      </c>
      <c r="R49" s="211">
        <v>5</v>
      </c>
      <c r="S49" s="15"/>
      <c r="T49" s="100"/>
      <c r="U49" s="15"/>
      <c r="V49" s="15"/>
      <c r="W49" s="15"/>
      <c r="X49" s="96"/>
      <c r="Y49" s="69">
        <f ca="1">Table24[[#This Row],[End Date]]+2-TODAY()</f>
        <v>94</v>
      </c>
      <c r="Z49" s="15">
        <f>IF(ISBLANK(Table24[[#This Row],[Roster Received By]]),1,0)</f>
        <v>1</v>
      </c>
      <c r="AA49" s="15">
        <f ca="1">IF(Table24[[#This Row],[Start Date]]&gt;TODAY(),1,)</f>
        <v>1</v>
      </c>
    </row>
    <row r="50" spans="1:27" s="103" customFormat="1" ht="14.25" customHeight="1" x14ac:dyDescent="0.25">
      <c r="A50" s="61"/>
      <c r="B50" s="96" t="s">
        <v>61</v>
      </c>
      <c r="C50" s="97" t="s">
        <v>142</v>
      </c>
      <c r="D50" s="97">
        <v>1228</v>
      </c>
      <c r="E50" s="96"/>
      <c r="F50" s="99">
        <v>45880</v>
      </c>
      <c r="G50" s="99">
        <v>45883</v>
      </c>
      <c r="H50" s="102"/>
      <c r="I50" s="102">
        <v>1100.4166666666667</v>
      </c>
      <c r="J50" s="99"/>
      <c r="K50" s="99"/>
      <c r="L50" s="99"/>
      <c r="M50" s="99"/>
      <c r="N50" s="99"/>
      <c r="O50" s="96" t="s">
        <v>304</v>
      </c>
      <c r="P50" s="96" t="s">
        <v>451</v>
      </c>
      <c r="Q50" s="100">
        <v>45</v>
      </c>
      <c r="R50" s="211">
        <v>5</v>
      </c>
      <c r="S50" s="100"/>
      <c r="T50" s="100"/>
      <c r="U50" s="15"/>
      <c r="V50" s="15"/>
      <c r="W50" s="15"/>
      <c r="X50" s="96"/>
      <c r="Y50" s="69">
        <f ca="1">Table24[[#This Row],[End Date]]+2-TODAY()</f>
        <v>108</v>
      </c>
      <c r="Z50" s="15">
        <f>IF(ISBLANK(Table24[[#This Row],[Roster Received By]]),1,0)</f>
        <v>1</v>
      </c>
      <c r="AA50" s="15">
        <f ca="1">IF(Table24[[#This Row],[Start Date]]&gt;TODAY(),1,)</f>
        <v>1</v>
      </c>
    </row>
    <row r="51" spans="1:27" s="103" customFormat="1" ht="14.25" customHeight="1" x14ac:dyDescent="0.25">
      <c r="A51" s="61"/>
      <c r="B51" s="96" t="s">
        <v>61</v>
      </c>
      <c r="C51" s="97" t="s">
        <v>142</v>
      </c>
      <c r="D51" s="97">
        <v>1228</v>
      </c>
      <c r="E51" s="96"/>
      <c r="F51" s="99">
        <v>45894</v>
      </c>
      <c r="G51" s="99">
        <v>45897</v>
      </c>
      <c r="H51" s="102"/>
      <c r="I51" s="102">
        <v>1000.3333333333334</v>
      </c>
      <c r="J51" s="99"/>
      <c r="K51" s="99"/>
      <c r="L51" s="99"/>
      <c r="M51" s="99"/>
      <c r="N51" s="99"/>
      <c r="O51" s="96" t="s">
        <v>304</v>
      </c>
      <c r="P51" s="96" t="s">
        <v>451</v>
      </c>
      <c r="Q51" s="100">
        <v>45</v>
      </c>
      <c r="R51" s="211">
        <v>5</v>
      </c>
      <c r="S51" s="100"/>
      <c r="T51" s="100"/>
      <c r="U51" s="15"/>
      <c r="V51" s="15"/>
      <c r="W51" s="15"/>
      <c r="X51" s="96"/>
      <c r="Y51" s="69">
        <f ca="1">Table24[[#This Row],[End Date]]+2-TODAY()</f>
        <v>122</v>
      </c>
      <c r="Z51" s="15">
        <f>IF(ISBLANK(Table24[[#This Row],[Roster Received By]]),1,0)</f>
        <v>1</v>
      </c>
      <c r="AA51" s="15">
        <f ca="1">IF(Table24[[#This Row],[Start Date]]&gt;TODAY(),1,)</f>
        <v>1</v>
      </c>
    </row>
    <row r="52" spans="1:27" s="103" customFormat="1" ht="14.25" customHeight="1" x14ac:dyDescent="0.25">
      <c r="A52" s="61"/>
      <c r="B52" s="96" t="s">
        <v>61</v>
      </c>
      <c r="C52" s="97" t="s">
        <v>142</v>
      </c>
      <c r="D52" s="97">
        <v>1228</v>
      </c>
      <c r="E52" s="96"/>
      <c r="F52" s="99">
        <v>45908</v>
      </c>
      <c r="G52" s="99">
        <v>45911</v>
      </c>
      <c r="H52" s="102"/>
      <c r="I52" s="102">
        <v>800.54166666666663</v>
      </c>
      <c r="J52" s="99"/>
      <c r="K52" s="99"/>
      <c r="L52" s="99"/>
      <c r="M52" s="99"/>
      <c r="N52" s="99"/>
      <c r="O52" s="96" t="s">
        <v>304</v>
      </c>
      <c r="P52" s="96" t="s">
        <v>451</v>
      </c>
      <c r="Q52" s="100">
        <v>45</v>
      </c>
      <c r="R52" s="211">
        <v>5</v>
      </c>
      <c r="S52" s="100"/>
      <c r="T52" s="100"/>
      <c r="U52" s="15"/>
      <c r="V52" s="15"/>
      <c r="W52" s="15"/>
      <c r="X52" s="96"/>
      <c r="Y52" s="69">
        <f ca="1">Table24[[#This Row],[End Date]]+2-TODAY()</f>
        <v>136</v>
      </c>
      <c r="Z52" s="15">
        <f>IF(ISBLANK(Table24[[#This Row],[Roster Received By]]),1,0)</f>
        <v>1</v>
      </c>
      <c r="AA52" s="15">
        <f ca="1">IF(Table24[[#This Row],[Start Date]]&gt;TODAY(),1,)</f>
        <v>1</v>
      </c>
    </row>
    <row r="53" spans="1:27" s="103" customFormat="1" ht="14.25" customHeight="1" x14ac:dyDescent="0.25">
      <c r="A53" s="61"/>
      <c r="B53" s="96" t="s">
        <v>61</v>
      </c>
      <c r="C53" s="97" t="s">
        <v>142</v>
      </c>
      <c r="D53" s="97">
        <v>1228</v>
      </c>
      <c r="E53" s="96"/>
      <c r="F53" s="99">
        <v>45922</v>
      </c>
      <c r="G53" s="99">
        <v>45925</v>
      </c>
      <c r="H53" s="99"/>
      <c r="I53" s="98">
        <v>0.29166666666666669</v>
      </c>
      <c r="J53" s="98"/>
      <c r="K53" s="98"/>
      <c r="L53" s="98"/>
      <c r="M53" s="98"/>
      <c r="N53" s="98"/>
      <c r="O53" s="96" t="s">
        <v>304</v>
      </c>
      <c r="P53" s="96" t="s">
        <v>451</v>
      </c>
      <c r="Q53" s="15">
        <v>45</v>
      </c>
      <c r="R53" s="211">
        <v>5</v>
      </c>
      <c r="S53" s="15"/>
      <c r="T53" s="100"/>
      <c r="U53" s="15"/>
      <c r="V53" s="15"/>
      <c r="W53" s="15"/>
      <c r="X53" s="96"/>
      <c r="Y53" s="69">
        <f ca="1">Table24[[#This Row],[End Date]]+2-TODAY()</f>
        <v>150</v>
      </c>
      <c r="Z53" s="15">
        <f>IF(ISBLANK(Table24[[#This Row],[Roster Received By]]),1,0)</f>
        <v>1</v>
      </c>
      <c r="AA53" s="15">
        <f ca="1">IF(Table24[[#This Row],[Start Date]]&gt;TODAY(),1,)</f>
        <v>1</v>
      </c>
    </row>
    <row r="54" spans="1:27" s="103" customFormat="1" ht="14.25" customHeight="1" x14ac:dyDescent="0.25">
      <c r="A54" s="61"/>
      <c r="B54" s="96" t="s">
        <v>38</v>
      </c>
      <c r="C54" s="97" t="s">
        <v>118</v>
      </c>
      <c r="D54" s="97" t="s">
        <v>119</v>
      </c>
      <c r="E54" s="96"/>
      <c r="F54" s="99">
        <v>45586</v>
      </c>
      <c r="G54" s="99">
        <v>45590</v>
      </c>
      <c r="H54" s="102"/>
      <c r="I54" s="98">
        <v>0.33333333333333331</v>
      </c>
      <c r="J54" s="99"/>
      <c r="K54" s="99"/>
      <c r="L54" s="99"/>
      <c r="M54" s="99"/>
      <c r="N54" s="99"/>
      <c r="O54" s="96" t="s">
        <v>303</v>
      </c>
      <c r="P54" s="96" t="s">
        <v>305</v>
      </c>
      <c r="Q54" s="15">
        <v>45</v>
      </c>
      <c r="R54" s="211">
        <v>5</v>
      </c>
      <c r="S54" s="15"/>
      <c r="T54" s="100"/>
      <c r="U54" s="15"/>
      <c r="V54" s="15"/>
      <c r="W54" s="15"/>
      <c r="X54" s="96"/>
      <c r="Y54" s="69">
        <f ca="1">Table24[[#This Row],[End Date]]+2-TODAY()</f>
        <v>-185</v>
      </c>
      <c r="Z54" s="15">
        <f>IF(ISBLANK(Table24[[#This Row],[Roster Received By]]),1,0)</f>
        <v>1</v>
      </c>
      <c r="AA54" s="15">
        <f ca="1">IF(Table24[[#This Row],[Start Date]]&gt;TODAY(),1,)</f>
        <v>0</v>
      </c>
    </row>
    <row r="55" spans="1:27" s="103" customFormat="1" ht="14.25" customHeight="1" x14ac:dyDescent="0.25">
      <c r="A55" s="61"/>
      <c r="B55" s="96" t="s">
        <v>38</v>
      </c>
      <c r="C55" s="97" t="s">
        <v>118</v>
      </c>
      <c r="D55" s="97" t="s">
        <v>119</v>
      </c>
      <c r="E55" s="96"/>
      <c r="F55" s="99">
        <v>45600</v>
      </c>
      <c r="G55" s="99">
        <v>45604</v>
      </c>
      <c r="H55" s="102"/>
      <c r="I55" s="102">
        <v>0.54166666666666663</v>
      </c>
      <c r="J55" s="102"/>
      <c r="K55" s="102"/>
      <c r="L55" s="102"/>
      <c r="M55" s="102"/>
      <c r="N55" s="102"/>
      <c r="O55" s="96" t="s">
        <v>303</v>
      </c>
      <c r="P55" s="96" t="s">
        <v>305</v>
      </c>
      <c r="Q55" s="15">
        <v>45</v>
      </c>
      <c r="R55" s="211">
        <v>5</v>
      </c>
      <c r="S55" s="15"/>
      <c r="T55" s="100"/>
      <c r="U55" s="15"/>
      <c r="V55" s="15"/>
      <c r="W55" s="15"/>
      <c r="X55" s="96"/>
      <c r="Y55" s="69">
        <f ca="1">Table24[[#This Row],[End Date]]+2-TODAY()</f>
        <v>-171</v>
      </c>
      <c r="Z55" s="15">
        <f>IF(ISBLANK(Table24[[#This Row],[Roster Received By]]),1,0)</f>
        <v>1</v>
      </c>
      <c r="AA55" s="15">
        <f ca="1">IF(Table24[[#This Row],[Start Date]]&gt;TODAY(),1,)</f>
        <v>0</v>
      </c>
    </row>
    <row r="56" spans="1:27" s="103" customFormat="1" ht="14.25" customHeight="1" x14ac:dyDescent="0.25">
      <c r="A56" s="96"/>
      <c r="B56" s="96" t="s">
        <v>38</v>
      </c>
      <c r="C56" s="97" t="s">
        <v>118</v>
      </c>
      <c r="D56" s="97" t="s">
        <v>119</v>
      </c>
      <c r="E56" s="96"/>
      <c r="F56" s="99">
        <v>45627</v>
      </c>
      <c r="G56" s="99">
        <v>45632</v>
      </c>
      <c r="H56" s="102"/>
      <c r="I56" s="98">
        <v>0.29166666666666669</v>
      </c>
      <c r="J56" s="102"/>
      <c r="K56" s="102"/>
      <c r="L56" s="102"/>
      <c r="M56" s="102"/>
      <c r="N56" s="102"/>
      <c r="O56" s="96" t="s">
        <v>303</v>
      </c>
      <c r="P56" s="96" t="s">
        <v>305</v>
      </c>
      <c r="Q56" s="15">
        <v>45</v>
      </c>
      <c r="R56" s="211">
        <v>5</v>
      </c>
      <c r="S56" s="15"/>
      <c r="T56" s="100"/>
      <c r="U56" s="15"/>
      <c r="V56" s="15"/>
      <c r="W56" s="15"/>
      <c r="X56" s="96"/>
      <c r="Y56" s="69">
        <f ca="1">Table24[[#This Row],[End Date]]+2-TODAY()</f>
        <v>-143</v>
      </c>
      <c r="Z56" s="15">
        <f>IF(ISBLANK(Table24[[#This Row],[Roster Received By]]),1,0)</f>
        <v>1</v>
      </c>
      <c r="AA56" s="15">
        <f ca="1">IF(Table24[[#This Row],[Start Date]]&gt;TODAY(),1,)</f>
        <v>0</v>
      </c>
    </row>
    <row r="57" spans="1:27" s="103" customFormat="1" ht="14.25" customHeight="1" x14ac:dyDescent="0.25">
      <c r="A57" s="96"/>
      <c r="B57" s="96" t="s">
        <v>38</v>
      </c>
      <c r="C57" s="97" t="s">
        <v>118</v>
      </c>
      <c r="D57" s="97" t="s">
        <v>119</v>
      </c>
      <c r="E57" s="96"/>
      <c r="F57" s="99">
        <v>45670</v>
      </c>
      <c r="G57" s="99">
        <v>45674</v>
      </c>
      <c r="H57" s="105"/>
      <c r="I57" s="98">
        <v>0.79166666666666663</v>
      </c>
      <c r="J57" s="99"/>
      <c r="K57" s="99"/>
      <c r="L57" s="99"/>
      <c r="M57" s="99"/>
      <c r="N57" s="99"/>
      <c r="O57" s="96" t="s">
        <v>303</v>
      </c>
      <c r="P57" s="96" t="s">
        <v>305</v>
      </c>
      <c r="Q57" s="15">
        <v>45</v>
      </c>
      <c r="R57" s="211">
        <v>5</v>
      </c>
      <c r="S57" s="15"/>
      <c r="T57" s="100"/>
      <c r="U57" s="15"/>
      <c r="V57" s="15"/>
      <c r="W57" s="15"/>
      <c r="X57" s="96"/>
      <c r="Y57" s="69">
        <f ca="1">Table24[[#This Row],[End Date]]+2-TODAY()</f>
        <v>-101</v>
      </c>
      <c r="Z57" s="15">
        <f>IF(ISBLANK(Table24[[#This Row],[Roster Received By]]),1,0)</f>
        <v>1</v>
      </c>
      <c r="AA57" s="15">
        <f ca="1">IF(Table24[[#This Row],[Start Date]]&gt;TODAY(),1,)</f>
        <v>0</v>
      </c>
    </row>
    <row r="58" spans="1:27" s="103" customFormat="1" ht="14.25" customHeight="1" x14ac:dyDescent="0.25">
      <c r="A58" s="61"/>
      <c r="B58" s="96" t="s">
        <v>38</v>
      </c>
      <c r="C58" s="97" t="s">
        <v>118</v>
      </c>
      <c r="D58" s="97" t="s">
        <v>119</v>
      </c>
      <c r="E58" s="64"/>
      <c r="F58" s="66">
        <v>45698</v>
      </c>
      <c r="G58" s="99">
        <v>45702</v>
      </c>
      <c r="H58" s="102"/>
      <c r="I58" s="102">
        <v>0.33333333333333331</v>
      </c>
      <c r="J58" s="99"/>
      <c r="K58" s="99"/>
      <c r="L58" s="99"/>
      <c r="M58" s="99"/>
      <c r="N58" s="99"/>
      <c r="O58" s="96" t="s">
        <v>303</v>
      </c>
      <c r="P58" s="96" t="s">
        <v>305</v>
      </c>
      <c r="Q58" s="15">
        <v>45</v>
      </c>
      <c r="R58" s="211">
        <v>5</v>
      </c>
      <c r="S58" s="15"/>
      <c r="T58" s="100"/>
      <c r="U58" s="15"/>
      <c r="V58" s="15"/>
      <c r="W58" s="15"/>
      <c r="X58" s="96"/>
      <c r="Y58" s="69">
        <f ca="1">Table24[[#This Row],[End Date]]+2-TODAY()</f>
        <v>-73</v>
      </c>
      <c r="Z58" s="15">
        <f>IF(ISBLANK(Table24[[#This Row],[Roster Received By]]),1,0)</f>
        <v>1</v>
      </c>
      <c r="AA58" s="15">
        <f ca="1">IF(Table24[[#This Row],[Start Date]]&gt;TODAY(),1,)</f>
        <v>0</v>
      </c>
    </row>
    <row r="59" spans="1:27" s="103" customFormat="1" ht="14.25" customHeight="1" x14ac:dyDescent="0.25">
      <c r="A59" s="61"/>
      <c r="B59" s="96" t="s">
        <v>38</v>
      </c>
      <c r="C59" s="97" t="s">
        <v>118</v>
      </c>
      <c r="D59" s="97" t="s">
        <v>119</v>
      </c>
      <c r="E59" s="96"/>
      <c r="F59" s="99">
        <v>45719</v>
      </c>
      <c r="G59" s="99">
        <v>45723</v>
      </c>
      <c r="H59" s="99"/>
      <c r="I59" s="98">
        <v>0.45833333333333331</v>
      </c>
      <c r="J59" s="98"/>
      <c r="K59" s="98"/>
      <c r="L59" s="98"/>
      <c r="M59" s="98"/>
      <c r="N59" s="98"/>
      <c r="O59" s="96" t="s">
        <v>303</v>
      </c>
      <c r="P59" s="96" t="s">
        <v>305</v>
      </c>
      <c r="Q59" s="15">
        <v>45</v>
      </c>
      <c r="R59" s="211">
        <v>5</v>
      </c>
      <c r="S59" s="15"/>
      <c r="T59" s="100"/>
      <c r="U59" s="15"/>
      <c r="V59" s="15"/>
      <c r="W59" s="15"/>
      <c r="X59" s="96"/>
      <c r="Y59" s="69">
        <f ca="1">Table24[[#This Row],[End Date]]+2-TODAY()</f>
        <v>-52</v>
      </c>
      <c r="Z59" s="15">
        <f>IF(ISBLANK(Table24[[#This Row],[Roster Received By]]),1,0)</f>
        <v>1</v>
      </c>
      <c r="AA59" s="15">
        <f ca="1">IF(Table24[[#This Row],[Start Date]]&gt;TODAY(),1,)</f>
        <v>0</v>
      </c>
    </row>
    <row r="60" spans="1:27" s="103" customFormat="1" ht="14.25" customHeight="1" x14ac:dyDescent="0.25">
      <c r="A60" s="61"/>
      <c r="B60" s="96" t="s">
        <v>38</v>
      </c>
      <c r="C60" s="97" t="s">
        <v>118</v>
      </c>
      <c r="D60" s="97" t="s">
        <v>119</v>
      </c>
      <c r="E60" s="96"/>
      <c r="F60" s="99">
        <v>45782</v>
      </c>
      <c r="G60" s="99">
        <v>45786</v>
      </c>
      <c r="H60" s="99"/>
      <c r="I60" s="98">
        <v>0.41666666666666669</v>
      </c>
      <c r="J60" s="98"/>
      <c r="K60" s="98"/>
      <c r="L60" s="98"/>
      <c r="M60" s="98"/>
      <c r="N60" s="98"/>
      <c r="O60" s="96" t="s">
        <v>303</v>
      </c>
      <c r="P60" s="96" t="s">
        <v>305</v>
      </c>
      <c r="Q60" s="15">
        <v>45</v>
      </c>
      <c r="R60" s="211">
        <v>5</v>
      </c>
      <c r="S60" s="15"/>
      <c r="T60" s="100"/>
      <c r="U60" s="15"/>
      <c r="V60" s="15"/>
      <c r="W60" s="15"/>
      <c r="X60" s="96"/>
      <c r="Y60" s="69">
        <f ca="1">Table24[[#This Row],[End Date]]+2-TODAY()</f>
        <v>11</v>
      </c>
      <c r="Z60" s="15">
        <f>IF(ISBLANK(Table24[[#This Row],[Roster Received By]]),1,0)</f>
        <v>1</v>
      </c>
      <c r="AA60" s="15">
        <f ca="1">IF(Table24[[#This Row],[Start Date]]&gt;TODAY(),1,)</f>
        <v>1</v>
      </c>
    </row>
    <row r="61" spans="1:27" s="103" customFormat="1" ht="14.25" customHeight="1" x14ac:dyDescent="0.25">
      <c r="A61" s="61"/>
      <c r="B61" s="96" t="s">
        <v>38</v>
      </c>
      <c r="C61" s="97" t="s">
        <v>118</v>
      </c>
      <c r="D61" s="97" t="s">
        <v>119</v>
      </c>
      <c r="E61" s="96"/>
      <c r="F61" s="99">
        <v>45817</v>
      </c>
      <c r="G61" s="99">
        <v>45821</v>
      </c>
      <c r="H61" s="99"/>
      <c r="I61" s="98">
        <v>0.33333333333333331</v>
      </c>
      <c r="J61" s="98"/>
      <c r="K61" s="98"/>
      <c r="L61" s="98"/>
      <c r="M61" s="98"/>
      <c r="N61" s="98"/>
      <c r="O61" s="96" t="s">
        <v>303</v>
      </c>
      <c r="P61" s="96" t="s">
        <v>305</v>
      </c>
      <c r="Q61" s="15">
        <v>45</v>
      </c>
      <c r="R61" s="211">
        <v>5</v>
      </c>
      <c r="S61" s="15"/>
      <c r="T61" s="100"/>
      <c r="U61" s="15"/>
      <c r="V61" s="15"/>
      <c r="W61" s="15"/>
      <c r="X61" s="96"/>
      <c r="Y61" s="69">
        <f ca="1">Table24[[#This Row],[End Date]]+2-TODAY()</f>
        <v>46</v>
      </c>
      <c r="Z61" s="15">
        <f>IF(ISBLANK(Table24[[#This Row],[Roster Received By]]),1,0)</f>
        <v>1</v>
      </c>
      <c r="AA61" s="15">
        <f ca="1">IF(Table24[[#This Row],[Start Date]]&gt;TODAY(),1,)</f>
        <v>1</v>
      </c>
    </row>
    <row r="62" spans="1:27" s="103" customFormat="1" ht="14.25" customHeight="1" x14ac:dyDescent="0.25">
      <c r="A62" s="61"/>
      <c r="B62" s="96" t="s">
        <v>38</v>
      </c>
      <c r="C62" s="97" t="s">
        <v>118</v>
      </c>
      <c r="D62" s="97" t="s">
        <v>119</v>
      </c>
      <c r="E62" s="96"/>
      <c r="F62" s="99">
        <v>45852</v>
      </c>
      <c r="G62" s="99">
        <v>45856</v>
      </c>
      <c r="H62" s="99"/>
      <c r="I62" s="98">
        <v>0.54166666666666663</v>
      </c>
      <c r="J62" s="98"/>
      <c r="K62" s="98"/>
      <c r="L62" s="98"/>
      <c r="M62" s="98"/>
      <c r="N62" s="98"/>
      <c r="O62" s="96" t="s">
        <v>303</v>
      </c>
      <c r="P62" s="96" t="s">
        <v>305</v>
      </c>
      <c r="Q62" s="15">
        <v>45</v>
      </c>
      <c r="R62" s="211">
        <v>5</v>
      </c>
      <c r="S62" s="15"/>
      <c r="T62" s="100"/>
      <c r="U62" s="15"/>
      <c r="V62" s="15"/>
      <c r="W62" s="15"/>
      <c r="X62" s="96"/>
      <c r="Y62" s="69">
        <f ca="1">Table24[[#This Row],[End Date]]+2-TODAY()</f>
        <v>81</v>
      </c>
      <c r="Z62" s="15">
        <f>IF(ISBLANK(Table24[[#This Row],[Roster Received By]]),1,0)</f>
        <v>1</v>
      </c>
      <c r="AA62" s="15">
        <f ca="1">IF(Table24[[#This Row],[Start Date]]&gt;TODAY(),1,)</f>
        <v>1</v>
      </c>
    </row>
    <row r="63" spans="1:27" s="103" customFormat="1" ht="14.25" customHeight="1" x14ac:dyDescent="0.25">
      <c r="A63" s="61"/>
      <c r="B63" s="96" t="s">
        <v>38</v>
      </c>
      <c r="C63" s="97" t="s">
        <v>118</v>
      </c>
      <c r="D63" s="97" t="s">
        <v>119</v>
      </c>
      <c r="E63" s="96"/>
      <c r="F63" s="99">
        <v>45880</v>
      </c>
      <c r="G63" s="99">
        <v>45884</v>
      </c>
      <c r="H63" s="105"/>
      <c r="I63" s="98">
        <v>0.33333333333333331</v>
      </c>
      <c r="J63" s="99"/>
      <c r="K63" s="99"/>
      <c r="L63" s="99"/>
      <c r="M63" s="99"/>
      <c r="N63" s="99"/>
      <c r="O63" s="96" t="s">
        <v>303</v>
      </c>
      <c r="P63" s="96" t="s">
        <v>305</v>
      </c>
      <c r="Q63" s="15">
        <v>45</v>
      </c>
      <c r="R63" s="211">
        <v>5</v>
      </c>
      <c r="S63" s="15"/>
      <c r="T63" s="100"/>
      <c r="U63" s="15"/>
      <c r="V63" s="15"/>
      <c r="W63" s="104"/>
      <c r="X63" s="96"/>
      <c r="Y63" s="69">
        <f ca="1">Table24[[#This Row],[End Date]]+2-TODAY()</f>
        <v>109</v>
      </c>
      <c r="Z63" s="15">
        <f>IF(ISBLANK(Table24[[#This Row],[Roster Received By]]),1,0)</f>
        <v>1</v>
      </c>
      <c r="AA63" s="15">
        <f ca="1">IF(Table24[[#This Row],[Start Date]]&gt;TODAY(),1,)</f>
        <v>1</v>
      </c>
    </row>
    <row r="64" spans="1:27" s="103" customFormat="1" ht="16.5" customHeight="1" x14ac:dyDescent="0.25">
      <c r="A64" s="61"/>
      <c r="B64" s="96" t="s">
        <v>38</v>
      </c>
      <c r="C64" s="97" t="s">
        <v>118</v>
      </c>
      <c r="D64" s="97" t="s">
        <v>119</v>
      </c>
      <c r="E64" s="96"/>
      <c r="F64" s="99">
        <v>45915</v>
      </c>
      <c r="G64" s="99">
        <v>45919</v>
      </c>
      <c r="H64" s="99"/>
      <c r="I64" s="98">
        <v>0.33333333333333331</v>
      </c>
      <c r="J64" s="98"/>
      <c r="K64" s="98"/>
      <c r="L64" s="98"/>
      <c r="M64" s="98"/>
      <c r="N64" s="98"/>
      <c r="O64" s="96" t="s">
        <v>303</v>
      </c>
      <c r="P64" s="96" t="s">
        <v>305</v>
      </c>
      <c r="Q64" s="15">
        <v>45</v>
      </c>
      <c r="R64" s="211">
        <v>5</v>
      </c>
      <c r="S64" s="15"/>
      <c r="T64" s="100"/>
      <c r="U64" s="15"/>
      <c r="V64" s="15"/>
      <c r="W64" s="15"/>
      <c r="X64" s="96"/>
      <c r="Y64" s="69">
        <f ca="1">Table24[[#This Row],[End Date]]+2-TODAY()</f>
        <v>144</v>
      </c>
      <c r="Z64" s="15">
        <f>IF(ISBLANK(Table24[[#This Row],[Roster Received By]]),1,0)</f>
        <v>1</v>
      </c>
      <c r="AA64" s="15">
        <f ca="1">IF(Table24[[#This Row],[Start Date]]&gt;TODAY(),1,)</f>
        <v>1</v>
      </c>
    </row>
    <row r="65" spans="1:27" s="103" customFormat="1" ht="14.25" customHeight="1" x14ac:dyDescent="0.25">
      <c r="A65" s="61"/>
      <c r="B65" s="96" t="s">
        <v>57</v>
      </c>
      <c r="C65" s="97" t="s">
        <v>114</v>
      </c>
      <c r="D65" s="97" t="s">
        <v>115</v>
      </c>
      <c r="E65" s="137"/>
      <c r="F65" s="99">
        <v>45615</v>
      </c>
      <c r="G65" s="99">
        <v>45617</v>
      </c>
      <c r="H65" s="99"/>
      <c r="I65" s="98">
        <v>0.33333333333333331</v>
      </c>
      <c r="J65" s="98"/>
      <c r="K65" s="98"/>
      <c r="L65" s="98"/>
      <c r="M65" s="98"/>
      <c r="N65" s="98"/>
      <c r="O65" s="96" t="s">
        <v>305</v>
      </c>
      <c r="P65" s="96" t="s">
        <v>303</v>
      </c>
      <c r="Q65" s="15">
        <v>45</v>
      </c>
      <c r="R65" s="15">
        <v>3</v>
      </c>
      <c r="S65" s="15"/>
      <c r="T65" s="100"/>
      <c r="U65" s="15"/>
      <c r="V65" s="15"/>
      <c r="W65" s="15"/>
      <c r="X65" s="96"/>
      <c r="Y65" s="69">
        <f ca="1">Table24[[#This Row],[End Date]]+2-TODAY()</f>
        <v>-158</v>
      </c>
      <c r="Z65" s="15">
        <f>IF(ISBLANK(Table24[[#This Row],[Roster Received By]]),1,0)</f>
        <v>1</v>
      </c>
      <c r="AA65" s="15">
        <f ca="1">IF(Table24[[#This Row],[Start Date]]&gt;TODAY(),1,)</f>
        <v>0</v>
      </c>
    </row>
    <row r="66" spans="1:27" s="103" customFormat="1" ht="14.25" customHeight="1" x14ac:dyDescent="0.25">
      <c r="A66" s="61"/>
      <c r="B66" s="96" t="s">
        <v>57</v>
      </c>
      <c r="C66" s="97" t="s">
        <v>114</v>
      </c>
      <c r="D66" s="97" t="s">
        <v>115</v>
      </c>
      <c r="E66" s="64"/>
      <c r="F66" s="99">
        <v>45629</v>
      </c>
      <c r="G66" s="99">
        <v>45631</v>
      </c>
      <c r="H66" s="102"/>
      <c r="I66" s="98">
        <v>0.33333333333333331</v>
      </c>
      <c r="J66" s="99"/>
      <c r="K66" s="99"/>
      <c r="L66" s="99"/>
      <c r="M66" s="99"/>
      <c r="N66" s="99"/>
      <c r="O66" s="96" t="s">
        <v>305</v>
      </c>
      <c r="P66" s="96" t="s">
        <v>303</v>
      </c>
      <c r="Q66" s="15">
        <v>45</v>
      </c>
      <c r="R66" s="15">
        <v>3</v>
      </c>
      <c r="S66" s="15"/>
      <c r="T66" s="100"/>
      <c r="U66" s="15"/>
      <c r="V66" s="15"/>
      <c r="W66" s="15"/>
      <c r="X66" s="96"/>
      <c r="Y66" s="69">
        <f ca="1">Table24[[#This Row],[End Date]]+2-TODAY()</f>
        <v>-144</v>
      </c>
      <c r="Z66" s="15">
        <f>IF(ISBLANK(Table24[[#This Row],[Roster Received By]]),1,0)</f>
        <v>1</v>
      </c>
      <c r="AA66" s="15">
        <f ca="1">IF(Table24[[#This Row],[Start Date]]&gt;TODAY(),1,)</f>
        <v>0</v>
      </c>
    </row>
    <row r="67" spans="1:27" s="103" customFormat="1" ht="14.25" customHeight="1" x14ac:dyDescent="0.25">
      <c r="A67" s="61"/>
      <c r="B67" s="96" t="s">
        <v>57</v>
      </c>
      <c r="C67" s="97" t="s">
        <v>114</v>
      </c>
      <c r="D67" s="97" t="s">
        <v>115</v>
      </c>
      <c r="E67" s="64"/>
      <c r="F67" s="99">
        <v>45671</v>
      </c>
      <c r="G67" s="99">
        <v>45673</v>
      </c>
      <c r="H67" s="102"/>
      <c r="I67" s="102">
        <v>0.54166666666666663</v>
      </c>
      <c r="J67" s="99"/>
      <c r="K67" s="99"/>
      <c r="L67" s="99"/>
      <c r="M67" s="99"/>
      <c r="N67" s="99"/>
      <c r="O67" s="96" t="s">
        <v>305</v>
      </c>
      <c r="P67" s="96" t="s">
        <v>303</v>
      </c>
      <c r="Q67" s="15">
        <v>45</v>
      </c>
      <c r="R67" s="15">
        <v>3</v>
      </c>
      <c r="S67" s="15"/>
      <c r="T67" s="100"/>
      <c r="U67" s="15"/>
      <c r="V67" s="15"/>
      <c r="W67" s="15"/>
      <c r="X67" s="96"/>
      <c r="Y67" s="69">
        <f ca="1">Table24[[#This Row],[End Date]]+2-TODAY()</f>
        <v>-102</v>
      </c>
      <c r="Z67" s="15">
        <f>IF(ISBLANK(Table24[[#This Row],[Roster Received By]]),1,0)</f>
        <v>1</v>
      </c>
      <c r="AA67" s="15">
        <f ca="1">IF(Table24[[#This Row],[Start Date]]&gt;TODAY(),1,)</f>
        <v>0</v>
      </c>
    </row>
    <row r="68" spans="1:27" s="103" customFormat="1" ht="14.25" customHeight="1" x14ac:dyDescent="0.25">
      <c r="A68" s="61"/>
      <c r="B68" s="96" t="s">
        <v>57</v>
      </c>
      <c r="C68" s="97" t="s">
        <v>114</v>
      </c>
      <c r="D68" s="97" t="s">
        <v>115</v>
      </c>
      <c r="E68" s="96"/>
      <c r="F68" s="99">
        <v>45685</v>
      </c>
      <c r="G68" s="99">
        <v>45687</v>
      </c>
      <c r="H68" s="102"/>
      <c r="I68" s="102">
        <v>1000.4166666666666</v>
      </c>
      <c r="J68" s="99"/>
      <c r="K68" s="99"/>
      <c r="L68" s="99"/>
      <c r="M68" s="99"/>
      <c r="N68" s="99"/>
      <c r="O68" s="96" t="s">
        <v>305</v>
      </c>
      <c r="P68" s="96" t="s">
        <v>303</v>
      </c>
      <c r="Q68" s="15">
        <v>45</v>
      </c>
      <c r="R68" s="15">
        <v>3</v>
      </c>
      <c r="S68" s="100"/>
      <c r="T68" s="100"/>
      <c r="U68" s="15"/>
      <c r="V68" s="15"/>
      <c r="W68" s="15"/>
      <c r="X68" s="96"/>
      <c r="Y68" s="69">
        <f ca="1">Table24[[#This Row],[End Date]]+2-TODAY()</f>
        <v>-88</v>
      </c>
      <c r="Z68" s="15">
        <f>IF(ISBLANK(Table24[[#This Row],[Roster Received By]]),1,0)</f>
        <v>1</v>
      </c>
      <c r="AA68" s="15">
        <f ca="1">IF(Table24[[#This Row],[Start Date]]&gt;TODAY(),1,)</f>
        <v>0</v>
      </c>
    </row>
    <row r="69" spans="1:27" s="103" customFormat="1" ht="14.25" customHeight="1" x14ac:dyDescent="0.25">
      <c r="A69" s="61"/>
      <c r="B69" s="96" t="s">
        <v>57</v>
      </c>
      <c r="C69" s="97" t="s">
        <v>114</v>
      </c>
      <c r="D69" s="97" t="s">
        <v>115</v>
      </c>
      <c r="E69" s="64"/>
      <c r="F69" s="66">
        <v>45692</v>
      </c>
      <c r="G69" s="99">
        <v>45694</v>
      </c>
      <c r="H69" s="102"/>
      <c r="I69" s="98">
        <v>0.29166666666666669</v>
      </c>
      <c r="J69" s="99"/>
      <c r="K69" s="99"/>
      <c r="L69" s="99"/>
      <c r="M69" s="99"/>
      <c r="N69" s="99"/>
      <c r="O69" s="96" t="s">
        <v>305</v>
      </c>
      <c r="P69" s="96" t="s">
        <v>303</v>
      </c>
      <c r="Q69" s="15">
        <v>45</v>
      </c>
      <c r="R69" s="15">
        <v>3</v>
      </c>
      <c r="S69" s="15"/>
      <c r="T69" s="100"/>
      <c r="U69" s="15"/>
      <c r="V69" s="15"/>
      <c r="W69" s="15"/>
      <c r="X69" s="96"/>
      <c r="Y69" s="69">
        <f ca="1">Table24[[#This Row],[End Date]]+2-TODAY()</f>
        <v>-81</v>
      </c>
      <c r="Z69" s="15">
        <f>IF(ISBLANK(Table24[[#This Row],[Roster Received By]]),1,0)</f>
        <v>1</v>
      </c>
      <c r="AA69" s="15">
        <f ca="1">IF(Table24[[#This Row],[Start Date]]&gt;TODAY(),1,)</f>
        <v>0</v>
      </c>
    </row>
    <row r="70" spans="1:27" s="103" customFormat="1" ht="14.25" customHeight="1" x14ac:dyDescent="0.25">
      <c r="A70" s="61"/>
      <c r="B70" s="96" t="s">
        <v>57</v>
      </c>
      <c r="C70" s="97" t="s">
        <v>114</v>
      </c>
      <c r="D70" s="97" t="s">
        <v>115</v>
      </c>
      <c r="E70" s="96"/>
      <c r="F70" s="99">
        <v>45706</v>
      </c>
      <c r="G70" s="99">
        <v>45708</v>
      </c>
      <c r="H70" s="102"/>
      <c r="I70" s="102">
        <v>800.33333333333337</v>
      </c>
      <c r="J70" s="99"/>
      <c r="K70" s="99"/>
      <c r="L70" s="99"/>
      <c r="M70" s="99"/>
      <c r="N70" s="99"/>
      <c r="O70" s="96" t="s">
        <v>305</v>
      </c>
      <c r="P70" s="96" t="s">
        <v>303</v>
      </c>
      <c r="Q70" s="15">
        <v>45</v>
      </c>
      <c r="R70" s="15">
        <v>3</v>
      </c>
      <c r="S70" s="100"/>
      <c r="T70" s="100"/>
      <c r="U70" s="15"/>
      <c r="V70" s="15"/>
      <c r="W70" s="15"/>
      <c r="X70" s="96"/>
      <c r="Y70" s="69">
        <f ca="1">Table24[[#This Row],[End Date]]+2-TODAY()</f>
        <v>-67</v>
      </c>
      <c r="Z70" s="15">
        <f>IF(ISBLANK(Table24[[#This Row],[Roster Received By]]),1,0)</f>
        <v>1</v>
      </c>
      <c r="AA70" s="15">
        <f ca="1">IF(Table24[[#This Row],[Start Date]]&gt;TODAY(),1,)</f>
        <v>0</v>
      </c>
    </row>
    <row r="71" spans="1:27" s="103" customFormat="1" ht="14.25" customHeight="1" x14ac:dyDescent="0.25">
      <c r="A71" s="61"/>
      <c r="B71" s="96" t="s">
        <v>57</v>
      </c>
      <c r="C71" s="97" t="s">
        <v>114</v>
      </c>
      <c r="D71" s="97" t="s">
        <v>115</v>
      </c>
      <c r="E71" s="96"/>
      <c r="F71" s="99">
        <v>45720</v>
      </c>
      <c r="G71" s="99">
        <v>45722</v>
      </c>
      <c r="H71" s="102"/>
      <c r="I71" s="102">
        <v>800.45833333333337</v>
      </c>
      <c r="J71" s="99"/>
      <c r="K71" s="99"/>
      <c r="L71" s="99"/>
      <c r="M71" s="99"/>
      <c r="N71" s="99"/>
      <c r="O71" s="96" t="s">
        <v>305</v>
      </c>
      <c r="P71" s="96" t="s">
        <v>303</v>
      </c>
      <c r="Q71" s="15">
        <v>45</v>
      </c>
      <c r="R71" s="15">
        <v>3</v>
      </c>
      <c r="S71" s="100"/>
      <c r="T71" s="100"/>
      <c r="U71" s="15"/>
      <c r="V71" s="15"/>
      <c r="W71" s="15"/>
      <c r="X71" s="96"/>
      <c r="Y71" s="69">
        <f ca="1">Table24[[#This Row],[End Date]]+2-TODAY()</f>
        <v>-53</v>
      </c>
      <c r="Z71" s="15">
        <f>IF(ISBLANK(Table24[[#This Row],[Roster Received By]]),1,0)</f>
        <v>1</v>
      </c>
      <c r="AA71" s="15">
        <f ca="1">IF(Table24[[#This Row],[Start Date]]&gt;TODAY(),1,)</f>
        <v>0</v>
      </c>
    </row>
    <row r="72" spans="1:27" s="103" customFormat="1" ht="14.25" customHeight="1" x14ac:dyDescent="0.25">
      <c r="A72" s="61"/>
      <c r="B72" s="96" t="s">
        <v>57</v>
      </c>
      <c r="C72" s="97" t="s">
        <v>114</v>
      </c>
      <c r="D72" s="97" t="s">
        <v>115</v>
      </c>
      <c r="E72" s="96"/>
      <c r="F72" s="99">
        <v>45734</v>
      </c>
      <c r="G72" s="99">
        <v>45736</v>
      </c>
      <c r="H72" s="102"/>
      <c r="I72" s="102">
        <v>800.79166666666663</v>
      </c>
      <c r="J72" s="99"/>
      <c r="K72" s="99"/>
      <c r="L72" s="99"/>
      <c r="M72" s="99"/>
      <c r="N72" s="99"/>
      <c r="O72" s="96" t="s">
        <v>305</v>
      </c>
      <c r="P72" s="96" t="s">
        <v>303</v>
      </c>
      <c r="Q72" s="15">
        <v>45</v>
      </c>
      <c r="R72" s="15">
        <v>3</v>
      </c>
      <c r="S72" s="100"/>
      <c r="T72" s="100"/>
      <c r="U72" s="15"/>
      <c r="V72" s="15"/>
      <c r="W72" s="15"/>
      <c r="X72" s="96"/>
      <c r="Y72" s="69">
        <f ca="1">Table24[[#This Row],[End Date]]+2-TODAY()</f>
        <v>-39</v>
      </c>
      <c r="Z72" s="15">
        <f>IF(ISBLANK(Table24[[#This Row],[Roster Received By]]),1,0)</f>
        <v>1</v>
      </c>
      <c r="AA72" s="15">
        <f ca="1">IF(Table24[[#This Row],[Start Date]]&gt;TODAY(),1,)</f>
        <v>0</v>
      </c>
    </row>
    <row r="73" spans="1:27" s="103" customFormat="1" ht="14.25" customHeight="1" x14ac:dyDescent="0.25">
      <c r="A73" s="61"/>
      <c r="B73" s="96" t="s">
        <v>57</v>
      </c>
      <c r="C73" s="97" t="s">
        <v>114</v>
      </c>
      <c r="D73" s="97" t="s">
        <v>115</v>
      </c>
      <c r="E73" s="96"/>
      <c r="F73" s="99">
        <v>45748</v>
      </c>
      <c r="G73" s="99">
        <v>45750</v>
      </c>
      <c r="H73" s="102"/>
      <c r="I73" s="102">
        <v>800.29166666666663</v>
      </c>
      <c r="J73" s="99"/>
      <c r="K73" s="99"/>
      <c r="L73" s="99"/>
      <c r="M73" s="99"/>
      <c r="N73" s="99"/>
      <c r="O73" s="96" t="s">
        <v>305</v>
      </c>
      <c r="P73" s="96" t="s">
        <v>303</v>
      </c>
      <c r="Q73" s="15">
        <v>45</v>
      </c>
      <c r="R73" s="15">
        <v>3</v>
      </c>
      <c r="S73" s="100"/>
      <c r="T73" s="100"/>
      <c r="U73" s="15"/>
      <c r="V73" s="15"/>
      <c r="W73" s="15"/>
      <c r="X73" s="96"/>
      <c r="Y73" s="69">
        <f ca="1">Table24[[#This Row],[End Date]]+2-TODAY()</f>
        <v>-25</v>
      </c>
      <c r="Z73" s="15">
        <f>IF(ISBLANK(Table24[[#This Row],[Roster Received By]]),1,0)</f>
        <v>1</v>
      </c>
      <c r="AA73" s="15">
        <f ca="1">IF(Table24[[#This Row],[Start Date]]&gt;TODAY(),1,)</f>
        <v>0</v>
      </c>
    </row>
    <row r="74" spans="1:27" s="103" customFormat="1" ht="14.25" customHeight="1" x14ac:dyDescent="0.25">
      <c r="A74" s="61"/>
      <c r="B74" s="96" t="s">
        <v>57</v>
      </c>
      <c r="C74" s="97" t="s">
        <v>114</v>
      </c>
      <c r="D74" s="97" t="s">
        <v>115</v>
      </c>
      <c r="E74" s="96"/>
      <c r="F74" s="99">
        <v>45776</v>
      </c>
      <c r="G74" s="99">
        <v>45778</v>
      </c>
      <c r="H74" s="102"/>
      <c r="I74" s="102">
        <v>800.33333333333337</v>
      </c>
      <c r="J74" s="99"/>
      <c r="K74" s="99"/>
      <c r="L74" s="99"/>
      <c r="M74" s="99"/>
      <c r="N74" s="99"/>
      <c r="O74" s="96" t="s">
        <v>305</v>
      </c>
      <c r="P74" s="96" t="s">
        <v>303</v>
      </c>
      <c r="Q74" s="15">
        <v>45</v>
      </c>
      <c r="R74" s="15">
        <v>3</v>
      </c>
      <c r="S74" s="100"/>
      <c r="T74" s="100"/>
      <c r="U74" s="15"/>
      <c r="V74" s="15"/>
      <c r="W74" s="15"/>
      <c r="X74" s="96"/>
      <c r="Y74" s="69">
        <f ca="1">Table24[[#This Row],[End Date]]+2-TODAY()</f>
        <v>3</v>
      </c>
      <c r="Z74" s="15">
        <f>IF(ISBLANK(Table24[[#This Row],[Roster Received By]]),1,0)</f>
        <v>1</v>
      </c>
      <c r="AA74" s="15">
        <f ca="1">IF(Table24[[#This Row],[Start Date]]&gt;TODAY(),1,)</f>
        <v>0</v>
      </c>
    </row>
    <row r="75" spans="1:27" s="103" customFormat="1" ht="14.25" customHeight="1" x14ac:dyDescent="0.25">
      <c r="A75" s="61"/>
      <c r="B75" s="96" t="s">
        <v>57</v>
      </c>
      <c r="C75" s="97" t="s">
        <v>114</v>
      </c>
      <c r="D75" s="97" t="s">
        <v>115</v>
      </c>
      <c r="E75" s="96"/>
      <c r="F75" s="99">
        <v>45790</v>
      </c>
      <c r="G75" s="99">
        <v>45792</v>
      </c>
      <c r="H75" s="102"/>
      <c r="I75" s="102">
        <v>800.45833333333337</v>
      </c>
      <c r="J75" s="99"/>
      <c r="K75" s="99"/>
      <c r="L75" s="99"/>
      <c r="M75" s="99"/>
      <c r="N75" s="99"/>
      <c r="O75" s="96" t="s">
        <v>305</v>
      </c>
      <c r="P75" s="96" t="s">
        <v>303</v>
      </c>
      <c r="Q75" s="15">
        <v>45</v>
      </c>
      <c r="R75" s="15">
        <v>3</v>
      </c>
      <c r="S75" s="100"/>
      <c r="T75" s="100"/>
      <c r="U75" s="15"/>
      <c r="V75" s="15"/>
      <c r="W75" s="15"/>
      <c r="X75" s="96"/>
      <c r="Y75" s="69">
        <f ca="1">Table24[[#This Row],[End Date]]+2-TODAY()</f>
        <v>17</v>
      </c>
      <c r="Z75" s="15">
        <f>IF(ISBLANK(Table24[[#This Row],[Roster Received By]]),1,0)</f>
        <v>1</v>
      </c>
      <c r="AA75" s="15">
        <f ca="1">IF(Table24[[#This Row],[Start Date]]&gt;TODAY(),1,)</f>
        <v>1</v>
      </c>
    </row>
    <row r="76" spans="1:27" s="103" customFormat="1" ht="14.25" customHeight="1" x14ac:dyDescent="0.25">
      <c r="A76" s="61"/>
      <c r="B76" s="96" t="s">
        <v>57</v>
      </c>
      <c r="C76" s="97" t="s">
        <v>114</v>
      </c>
      <c r="D76" s="97" t="s">
        <v>115</v>
      </c>
      <c r="E76" s="96"/>
      <c r="F76" s="99">
        <v>45804</v>
      </c>
      <c r="G76" s="99">
        <v>45806</v>
      </c>
      <c r="H76" s="102"/>
      <c r="I76" s="102">
        <v>800.54166666666663</v>
      </c>
      <c r="J76" s="99"/>
      <c r="K76" s="99"/>
      <c r="L76" s="99"/>
      <c r="M76" s="99"/>
      <c r="N76" s="99"/>
      <c r="O76" s="96" t="s">
        <v>305</v>
      </c>
      <c r="P76" s="96" t="s">
        <v>303</v>
      </c>
      <c r="Q76" s="15">
        <v>45</v>
      </c>
      <c r="R76" s="15">
        <v>3</v>
      </c>
      <c r="S76" s="100"/>
      <c r="T76" s="100"/>
      <c r="U76" s="15"/>
      <c r="V76" s="15"/>
      <c r="W76" s="15"/>
      <c r="X76" s="96"/>
      <c r="Y76" s="69">
        <f ca="1">Table24[[#This Row],[End Date]]+2-TODAY()</f>
        <v>31</v>
      </c>
      <c r="Z76" s="15">
        <f>IF(ISBLANK(Table24[[#This Row],[Roster Received By]]),1,0)</f>
        <v>1</v>
      </c>
      <c r="AA76" s="15">
        <f ca="1">IF(Table24[[#This Row],[Start Date]]&gt;TODAY(),1,)</f>
        <v>1</v>
      </c>
    </row>
    <row r="77" spans="1:27" s="103" customFormat="1" ht="14.25" customHeight="1" x14ac:dyDescent="0.25">
      <c r="A77" s="61"/>
      <c r="B77" s="96" t="s">
        <v>57</v>
      </c>
      <c r="C77" s="97" t="s">
        <v>114</v>
      </c>
      <c r="D77" s="97" t="s">
        <v>115</v>
      </c>
      <c r="E77" s="96"/>
      <c r="F77" s="99">
        <v>45818</v>
      </c>
      <c r="G77" s="99">
        <v>45820</v>
      </c>
      <c r="H77" s="99"/>
      <c r="I77" s="98">
        <v>0.41666666666666669</v>
      </c>
      <c r="J77" s="98"/>
      <c r="K77" s="98"/>
      <c r="L77" s="98"/>
      <c r="M77" s="98"/>
      <c r="N77" s="98"/>
      <c r="O77" s="96" t="s">
        <v>305</v>
      </c>
      <c r="P77" s="96" t="s">
        <v>303</v>
      </c>
      <c r="Q77" s="15">
        <v>45</v>
      </c>
      <c r="R77" s="15">
        <v>3</v>
      </c>
      <c r="S77" s="15"/>
      <c r="T77" s="100"/>
      <c r="U77" s="15"/>
      <c r="V77" s="15"/>
      <c r="W77" s="15"/>
      <c r="X77" s="96"/>
      <c r="Y77" s="69">
        <f ca="1">Table24[[#This Row],[End Date]]+2-TODAY()</f>
        <v>45</v>
      </c>
      <c r="Z77" s="15">
        <f>IF(ISBLANK(Table24[[#This Row],[Roster Received By]]),1,0)</f>
        <v>1</v>
      </c>
      <c r="AA77" s="15">
        <f ca="1">IF(Table24[[#This Row],[Start Date]]&gt;TODAY(),1,)</f>
        <v>1</v>
      </c>
    </row>
    <row r="78" spans="1:27" s="103" customFormat="1" ht="14.25" customHeight="1" x14ac:dyDescent="0.25">
      <c r="A78" s="61"/>
      <c r="B78" s="96" t="s">
        <v>57</v>
      </c>
      <c r="C78" s="97" t="s">
        <v>114</v>
      </c>
      <c r="D78" s="97" t="s">
        <v>115</v>
      </c>
      <c r="E78" s="96"/>
      <c r="F78" s="99">
        <v>45832</v>
      </c>
      <c r="G78" s="99">
        <v>45834</v>
      </c>
      <c r="H78" s="102"/>
      <c r="I78" s="102">
        <v>700.29166666666663</v>
      </c>
      <c r="J78" s="99"/>
      <c r="K78" s="99"/>
      <c r="L78" s="99"/>
      <c r="M78" s="99"/>
      <c r="N78" s="99"/>
      <c r="O78" s="96" t="s">
        <v>305</v>
      </c>
      <c r="P78" s="96" t="s">
        <v>303</v>
      </c>
      <c r="Q78" s="15">
        <v>45</v>
      </c>
      <c r="R78" s="15">
        <v>3</v>
      </c>
      <c r="S78" s="100"/>
      <c r="T78" s="100"/>
      <c r="U78" s="15"/>
      <c r="V78" s="15"/>
      <c r="W78" s="15"/>
      <c r="X78" s="96"/>
      <c r="Y78" s="69">
        <f ca="1">Table24[[#This Row],[End Date]]+2-TODAY()</f>
        <v>59</v>
      </c>
      <c r="Z78" s="15">
        <f>IF(ISBLANK(Table24[[#This Row],[Roster Received By]]),1,0)</f>
        <v>1</v>
      </c>
      <c r="AA78" s="15">
        <f ca="1">IF(Table24[[#This Row],[Start Date]]&gt;TODAY(),1,)</f>
        <v>1</v>
      </c>
    </row>
    <row r="79" spans="1:27" s="103" customFormat="1" ht="14.25" customHeight="1" x14ac:dyDescent="0.25">
      <c r="A79" s="61"/>
      <c r="B79" s="96" t="s">
        <v>57</v>
      </c>
      <c r="C79" s="97" t="s">
        <v>114</v>
      </c>
      <c r="D79" s="97" t="s">
        <v>115</v>
      </c>
      <c r="E79" s="96"/>
      <c r="F79" s="99">
        <v>45846</v>
      </c>
      <c r="G79" s="99">
        <v>45848</v>
      </c>
      <c r="H79" s="99"/>
      <c r="I79" s="98">
        <v>0.33333333333333331</v>
      </c>
      <c r="J79" s="98"/>
      <c r="K79" s="98"/>
      <c r="L79" s="98"/>
      <c r="M79" s="98"/>
      <c r="N79" s="98"/>
      <c r="O79" s="96" t="s">
        <v>305</v>
      </c>
      <c r="P79" s="96" t="s">
        <v>303</v>
      </c>
      <c r="Q79" s="15">
        <v>45</v>
      </c>
      <c r="R79" s="15">
        <v>3</v>
      </c>
      <c r="S79" s="15"/>
      <c r="T79" s="100"/>
      <c r="U79" s="15"/>
      <c r="V79" s="15"/>
      <c r="W79" s="15"/>
      <c r="X79" s="96"/>
      <c r="Y79" s="69">
        <f ca="1">Table24[[#This Row],[End Date]]+2-TODAY()</f>
        <v>73</v>
      </c>
      <c r="Z79" s="15">
        <f>IF(ISBLANK(Table24[[#This Row],[Roster Received By]]),1,0)</f>
        <v>1</v>
      </c>
      <c r="AA79" s="15">
        <f ca="1">IF(Table24[[#This Row],[Start Date]]&gt;TODAY(),1,)</f>
        <v>1</v>
      </c>
    </row>
    <row r="80" spans="1:27" s="103" customFormat="1" ht="14.25" customHeight="1" x14ac:dyDescent="0.25">
      <c r="A80" s="61"/>
      <c r="B80" s="96" t="s">
        <v>57</v>
      </c>
      <c r="C80" s="97" t="s">
        <v>114</v>
      </c>
      <c r="D80" s="97" t="s">
        <v>115</v>
      </c>
      <c r="E80" s="96"/>
      <c r="F80" s="99">
        <v>45860</v>
      </c>
      <c r="G80" s="99">
        <v>45862</v>
      </c>
      <c r="H80" s="102"/>
      <c r="I80" s="102">
        <v>700.54166666666663</v>
      </c>
      <c r="J80" s="99"/>
      <c r="K80" s="99"/>
      <c r="L80" s="99"/>
      <c r="M80" s="99"/>
      <c r="N80" s="99"/>
      <c r="O80" s="96" t="s">
        <v>305</v>
      </c>
      <c r="P80" s="96" t="s">
        <v>303</v>
      </c>
      <c r="Q80" s="15">
        <v>45</v>
      </c>
      <c r="R80" s="15">
        <v>3</v>
      </c>
      <c r="S80" s="100"/>
      <c r="T80" s="100"/>
      <c r="U80" s="15"/>
      <c r="V80" s="15"/>
      <c r="W80" s="15"/>
      <c r="X80" s="96"/>
      <c r="Y80" s="69">
        <f ca="1">Table24[[#This Row],[End Date]]+2-TODAY()</f>
        <v>87</v>
      </c>
      <c r="Z80" s="15">
        <f>IF(ISBLANK(Table24[[#This Row],[Roster Received By]]),1,0)</f>
        <v>1</v>
      </c>
      <c r="AA80" s="15">
        <f ca="1">IF(Table24[[#This Row],[Start Date]]&gt;TODAY(),1,)</f>
        <v>1</v>
      </c>
    </row>
    <row r="81" spans="1:27" s="132" customFormat="1" ht="14.25" customHeight="1" x14ac:dyDescent="0.25">
      <c r="A81" s="96"/>
      <c r="B81" s="96" t="s">
        <v>57</v>
      </c>
      <c r="C81" s="97" t="s">
        <v>114</v>
      </c>
      <c r="D81" s="97" t="s">
        <v>115</v>
      </c>
      <c r="E81" s="64"/>
      <c r="F81" s="99">
        <v>45874</v>
      </c>
      <c r="G81" s="99">
        <v>45876</v>
      </c>
      <c r="H81" s="102"/>
      <c r="I81" s="98">
        <v>0.41666666666666669</v>
      </c>
      <c r="J81" s="99"/>
      <c r="K81" s="99"/>
      <c r="L81" s="99"/>
      <c r="M81" s="99"/>
      <c r="N81" s="99"/>
      <c r="O81" s="96" t="s">
        <v>305</v>
      </c>
      <c r="P81" s="96" t="s">
        <v>303</v>
      </c>
      <c r="Q81" s="15">
        <v>45</v>
      </c>
      <c r="R81" s="15">
        <v>3</v>
      </c>
      <c r="S81" s="15"/>
      <c r="T81" s="100"/>
      <c r="U81" s="15"/>
      <c r="V81" s="15"/>
      <c r="W81" s="15"/>
      <c r="X81" s="96"/>
      <c r="Y81" s="69">
        <f ca="1">Table24[[#This Row],[End Date]]+2-TODAY()</f>
        <v>101</v>
      </c>
      <c r="Z81" s="15">
        <f>IF(ISBLANK(Table24[[#This Row],[Roster Received By]]),1,0)</f>
        <v>1</v>
      </c>
      <c r="AA81" s="15">
        <f ca="1">IF(Table24[[#This Row],[Start Date]]&gt;TODAY(),1,)</f>
        <v>1</v>
      </c>
    </row>
    <row r="82" spans="1:27" s="132" customFormat="1" ht="14.25" customHeight="1" x14ac:dyDescent="0.25">
      <c r="A82" s="96"/>
      <c r="B82" s="96" t="s">
        <v>57</v>
      </c>
      <c r="C82" s="97" t="s">
        <v>114</v>
      </c>
      <c r="D82" s="97" t="s">
        <v>115</v>
      </c>
      <c r="E82" s="96"/>
      <c r="F82" s="99">
        <v>45888</v>
      </c>
      <c r="G82" s="99">
        <v>45890</v>
      </c>
      <c r="H82" s="102"/>
      <c r="I82" s="102">
        <v>700.45833333333337</v>
      </c>
      <c r="J82" s="99"/>
      <c r="K82" s="99"/>
      <c r="L82" s="99"/>
      <c r="M82" s="99"/>
      <c r="N82" s="99"/>
      <c r="O82" s="96" t="s">
        <v>305</v>
      </c>
      <c r="P82" s="96" t="s">
        <v>303</v>
      </c>
      <c r="Q82" s="15">
        <v>45</v>
      </c>
      <c r="R82" s="15">
        <v>3</v>
      </c>
      <c r="S82" s="100"/>
      <c r="T82" s="100"/>
      <c r="U82" s="15"/>
      <c r="V82" s="15"/>
      <c r="W82" s="15"/>
      <c r="X82" s="96"/>
      <c r="Y82" s="69">
        <f ca="1">Table24[[#This Row],[End Date]]+2-TODAY()</f>
        <v>115</v>
      </c>
      <c r="Z82" s="15">
        <f>IF(ISBLANK(Table24[[#This Row],[Roster Received By]]),1,0)</f>
        <v>1</v>
      </c>
      <c r="AA82" s="15">
        <f ca="1">IF(Table24[[#This Row],[Start Date]]&gt;TODAY(),1,)</f>
        <v>1</v>
      </c>
    </row>
    <row r="83" spans="1:27" s="132" customFormat="1" ht="14.25" customHeight="1" x14ac:dyDescent="0.25">
      <c r="A83" s="96"/>
      <c r="B83" s="96" t="s">
        <v>57</v>
      </c>
      <c r="C83" s="97" t="s">
        <v>114</v>
      </c>
      <c r="D83" s="97" t="s">
        <v>115</v>
      </c>
      <c r="E83" s="96"/>
      <c r="F83" s="99">
        <v>45902</v>
      </c>
      <c r="G83" s="99">
        <v>45904</v>
      </c>
      <c r="H83" s="102"/>
      <c r="I83" s="102">
        <v>700.79166666666663</v>
      </c>
      <c r="J83" s="99"/>
      <c r="K83" s="99"/>
      <c r="L83" s="99"/>
      <c r="M83" s="99"/>
      <c r="N83" s="99"/>
      <c r="O83" s="96" t="s">
        <v>305</v>
      </c>
      <c r="P83" s="96" t="s">
        <v>303</v>
      </c>
      <c r="Q83" s="15">
        <v>45</v>
      </c>
      <c r="R83" s="15">
        <v>3</v>
      </c>
      <c r="S83" s="100"/>
      <c r="T83" s="100"/>
      <c r="U83" s="15"/>
      <c r="V83" s="15"/>
      <c r="W83" s="15"/>
      <c r="X83" s="96"/>
      <c r="Y83" s="69">
        <f ca="1">Table24[[#This Row],[End Date]]+2-TODAY()</f>
        <v>129</v>
      </c>
      <c r="Z83" s="15">
        <f>IF(ISBLANK(Table24[[#This Row],[Roster Received By]]),1,0)</f>
        <v>1</v>
      </c>
      <c r="AA83" s="15">
        <f ca="1">IF(Table24[[#This Row],[Start Date]]&gt;TODAY(),1,)</f>
        <v>1</v>
      </c>
    </row>
    <row r="84" spans="1:27" s="132" customFormat="1" ht="14.25" customHeight="1" x14ac:dyDescent="0.25">
      <c r="A84" s="96"/>
      <c r="B84" s="96" t="s">
        <v>57</v>
      </c>
      <c r="C84" s="97" t="s">
        <v>114</v>
      </c>
      <c r="D84" s="97" t="s">
        <v>115</v>
      </c>
      <c r="E84" s="96"/>
      <c r="F84" s="99">
        <v>45916</v>
      </c>
      <c r="G84" s="99">
        <v>45918</v>
      </c>
      <c r="H84" s="102"/>
      <c r="I84" s="102">
        <v>700.33333333333337</v>
      </c>
      <c r="J84" s="99"/>
      <c r="K84" s="99"/>
      <c r="L84" s="99"/>
      <c r="M84" s="99"/>
      <c r="N84" s="99"/>
      <c r="O84" s="96" t="s">
        <v>305</v>
      </c>
      <c r="P84" s="96" t="s">
        <v>303</v>
      </c>
      <c r="Q84" s="15">
        <v>45</v>
      </c>
      <c r="R84" s="15">
        <v>3</v>
      </c>
      <c r="S84" s="100"/>
      <c r="T84" s="100"/>
      <c r="U84" s="15"/>
      <c r="V84" s="15"/>
      <c r="W84" s="15"/>
      <c r="X84" s="96"/>
      <c r="Y84" s="69">
        <f ca="1">Table24[[#This Row],[End Date]]+2-TODAY()</f>
        <v>143</v>
      </c>
      <c r="Z84" s="15">
        <f>IF(ISBLANK(Table24[[#This Row],[Roster Received By]]),1,0)</f>
        <v>1</v>
      </c>
      <c r="AA84" s="15">
        <f ca="1">IF(Table24[[#This Row],[Start Date]]&gt;TODAY(),1,)</f>
        <v>1</v>
      </c>
    </row>
    <row r="85" spans="1:27" s="132" customFormat="1" ht="14.25" customHeight="1" x14ac:dyDescent="0.25">
      <c r="A85" s="96"/>
      <c r="B85" s="96" t="s">
        <v>57</v>
      </c>
      <c r="C85" s="97" t="s">
        <v>114</v>
      </c>
      <c r="D85" s="97" t="s">
        <v>115</v>
      </c>
      <c r="E85" s="96"/>
      <c r="F85" s="99">
        <v>45930</v>
      </c>
      <c r="G85" s="99">
        <v>45932</v>
      </c>
      <c r="H85" s="102"/>
      <c r="I85" s="102">
        <v>700.54166666666663</v>
      </c>
      <c r="J85" s="99"/>
      <c r="K85" s="99"/>
      <c r="L85" s="99"/>
      <c r="M85" s="99"/>
      <c r="N85" s="99"/>
      <c r="O85" s="96" t="s">
        <v>305</v>
      </c>
      <c r="P85" s="96" t="s">
        <v>303</v>
      </c>
      <c r="Q85" s="15">
        <v>45</v>
      </c>
      <c r="R85" s="15">
        <v>3</v>
      </c>
      <c r="S85" s="100"/>
      <c r="T85" s="100"/>
      <c r="U85" s="15"/>
      <c r="V85" s="15"/>
      <c r="W85" s="15"/>
      <c r="X85" s="96"/>
      <c r="Y85" s="69">
        <f ca="1">Table24[[#This Row],[End Date]]+2-TODAY()</f>
        <v>157</v>
      </c>
      <c r="Z85" s="15">
        <f>IF(ISBLANK(Table24[[#This Row],[Roster Received By]]),1,0)</f>
        <v>1</v>
      </c>
      <c r="AA85" s="15">
        <f ca="1">IF(Table24[[#This Row],[Start Date]]&gt;TODAY(),1,)</f>
        <v>1</v>
      </c>
    </row>
    <row r="86" spans="1:27" s="103" customFormat="1" ht="14.25" customHeight="1" x14ac:dyDescent="0.25">
      <c r="A86" s="61"/>
      <c r="B86" s="96" t="s">
        <v>55</v>
      </c>
      <c r="C86" s="97" t="s">
        <v>104</v>
      </c>
      <c r="D86" s="97" t="s">
        <v>105</v>
      </c>
      <c r="E86" s="96" t="s">
        <v>197</v>
      </c>
      <c r="F86" s="99">
        <v>45712</v>
      </c>
      <c r="G86" s="99">
        <v>45716</v>
      </c>
      <c r="H86" s="102"/>
      <c r="I86" s="98">
        <v>0.33333333333333331</v>
      </c>
      <c r="J86" s="99"/>
      <c r="K86" s="99"/>
      <c r="L86" s="99"/>
      <c r="M86" s="99"/>
      <c r="N86" s="99"/>
      <c r="O86" s="96" t="s">
        <v>314</v>
      </c>
      <c r="P86" s="96"/>
      <c r="Q86" s="15">
        <v>25</v>
      </c>
      <c r="R86" s="15">
        <v>5</v>
      </c>
      <c r="S86" s="15"/>
      <c r="T86" s="100"/>
      <c r="U86" s="15"/>
      <c r="V86" s="15"/>
      <c r="W86" s="97"/>
      <c r="X86" s="96"/>
      <c r="Y86" s="69">
        <f ca="1">Table24[[#This Row],[End Date]]+2-TODAY()</f>
        <v>-59</v>
      </c>
      <c r="Z86" s="15">
        <f>IF(ISBLANK(Table24[[#This Row],[Roster Received By]]),1,0)</f>
        <v>1</v>
      </c>
      <c r="AA86" s="15">
        <f ca="1">IF(Table24[[#This Row],[Start Date]]&gt;TODAY(),1,)</f>
        <v>0</v>
      </c>
    </row>
    <row r="87" spans="1:27" s="103" customFormat="1" ht="14.25" customHeight="1" x14ac:dyDescent="0.25">
      <c r="A87" s="96"/>
      <c r="B87" s="96" t="s">
        <v>55</v>
      </c>
      <c r="C87" s="97" t="s">
        <v>104</v>
      </c>
      <c r="D87" s="97" t="s">
        <v>105</v>
      </c>
      <c r="E87" s="96" t="s">
        <v>197</v>
      </c>
      <c r="F87" s="99">
        <v>45719</v>
      </c>
      <c r="G87" s="99">
        <v>45733</v>
      </c>
      <c r="H87" s="102"/>
      <c r="I87" s="98">
        <v>0.33333333333333331</v>
      </c>
      <c r="J87" s="99"/>
      <c r="K87" s="99"/>
      <c r="L87" s="99"/>
      <c r="M87" s="99"/>
      <c r="N87" s="99"/>
      <c r="O87" s="96" t="s">
        <v>314</v>
      </c>
      <c r="P87" s="96"/>
      <c r="Q87" s="15">
        <v>25</v>
      </c>
      <c r="R87" s="15">
        <v>5</v>
      </c>
      <c r="S87" s="15"/>
      <c r="T87" s="100"/>
      <c r="U87" s="15"/>
      <c r="V87" s="15"/>
      <c r="W87" s="15"/>
      <c r="X87" s="96"/>
      <c r="Y87" s="69">
        <f ca="1">Table24[[#This Row],[End Date]]+2-TODAY()</f>
        <v>-42</v>
      </c>
      <c r="Z87" s="15">
        <f>IF(ISBLANK(Table24[[#This Row],[Roster Received By]]),1,0)</f>
        <v>1</v>
      </c>
      <c r="AA87" s="15">
        <f ca="1">IF(Table24[[#This Row],[Start Date]]&gt;TODAY(),1,)</f>
        <v>0</v>
      </c>
    </row>
    <row r="88" spans="1:27" s="103" customFormat="1" ht="14.25" customHeight="1" x14ac:dyDescent="0.25">
      <c r="A88" s="61"/>
      <c r="B88" s="96" t="s">
        <v>55</v>
      </c>
      <c r="C88" s="97" t="s">
        <v>104</v>
      </c>
      <c r="D88" s="97" t="s">
        <v>105</v>
      </c>
      <c r="E88" s="96" t="s">
        <v>170</v>
      </c>
      <c r="F88" s="99">
        <v>45628</v>
      </c>
      <c r="G88" s="99">
        <v>45632</v>
      </c>
      <c r="H88" s="99"/>
      <c r="I88" s="98">
        <v>0.33333333333333331</v>
      </c>
      <c r="J88" s="98">
        <v>0.33333333333333331</v>
      </c>
      <c r="K88" s="98"/>
      <c r="L88" s="98"/>
      <c r="M88" s="98"/>
      <c r="N88" s="98"/>
      <c r="O88" s="96" t="s">
        <v>314</v>
      </c>
      <c r="P88" s="96"/>
      <c r="Q88" s="15">
        <v>25</v>
      </c>
      <c r="R88" s="15">
        <v>5</v>
      </c>
      <c r="S88" s="15"/>
      <c r="T88" s="100"/>
      <c r="U88" s="15"/>
      <c r="V88" s="15"/>
      <c r="W88" s="15"/>
      <c r="X88" s="96"/>
      <c r="Y88" s="69">
        <f ca="1">Table24[[#This Row],[End Date]]+2-TODAY()</f>
        <v>-143</v>
      </c>
      <c r="Z88" s="15">
        <f>IF(ISBLANK(Table24[[#This Row],[Roster Received By]]),1,0)</f>
        <v>1</v>
      </c>
      <c r="AA88" s="15">
        <f ca="1">IF(Table24[[#This Row],[Start Date]]&gt;TODAY(),1,)</f>
        <v>0</v>
      </c>
    </row>
    <row r="89" spans="1:27" s="103" customFormat="1" ht="14.25" customHeight="1" x14ac:dyDescent="0.25">
      <c r="A89" s="61"/>
      <c r="B89" s="96" t="s">
        <v>55</v>
      </c>
      <c r="C89" s="97" t="s">
        <v>104</v>
      </c>
      <c r="D89" s="97" t="s">
        <v>105</v>
      </c>
      <c r="E89" s="96" t="s">
        <v>170</v>
      </c>
      <c r="F89" s="99">
        <v>45635</v>
      </c>
      <c r="G89" s="99">
        <v>45639</v>
      </c>
      <c r="H89" s="99"/>
      <c r="I89" s="98">
        <v>0.33333333333333331</v>
      </c>
      <c r="J89" s="98">
        <v>0.33333333333333331</v>
      </c>
      <c r="K89" s="98"/>
      <c r="L89" s="98"/>
      <c r="M89" s="98"/>
      <c r="N89" s="98"/>
      <c r="O89" s="96" t="s">
        <v>314</v>
      </c>
      <c r="P89" s="96"/>
      <c r="Q89" s="15">
        <v>25</v>
      </c>
      <c r="R89" s="15">
        <v>5</v>
      </c>
      <c r="S89" s="15"/>
      <c r="T89" s="100"/>
      <c r="U89" s="15"/>
      <c r="V89" s="15"/>
      <c r="W89" s="97"/>
      <c r="X89" s="96"/>
      <c r="Y89" s="69">
        <f ca="1">Table24[[#This Row],[End Date]]+2-TODAY()</f>
        <v>-136</v>
      </c>
      <c r="Z89" s="15">
        <f>IF(ISBLANK(Table24[[#This Row],[Roster Received By]]),1,0)</f>
        <v>1</v>
      </c>
      <c r="AA89" s="15">
        <f ca="1">IF(Table24[[#This Row],[Start Date]]&gt;TODAY(),1,)</f>
        <v>0</v>
      </c>
    </row>
    <row r="90" spans="1:27" s="132" customFormat="1" x14ac:dyDescent="0.25">
      <c r="A90" s="61"/>
      <c r="B90" s="96" t="s">
        <v>55</v>
      </c>
      <c r="C90" s="97" t="s">
        <v>104</v>
      </c>
      <c r="D90" s="97" t="s">
        <v>105</v>
      </c>
      <c r="E90" s="96" t="s">
        <v>170</v>
      </c>
      <c r="F90" s="66">
        <v>45733</v>
      </c>
      <c r="G90" s="66">
        <v>45737</v>
      </c>
      <c r="H90" s="98"/>
      <c r="I90" s="98">
        <v>0.33333333333333331</v>
      </c>
      <c r="J90" s="98">
        <v>0.33333333333333331</v>
      </c>
      <c r="K90" s="99"/>
      <c r="L90" s="99"/>
      <c r="M90" s="99"/>
      <c r="N90" s="99"/>
      <c r="O90" s="96" t="s">
        <v>314</v>
      </c>
      <c r="P90" s="96"/>
      <c r="Q90" s="15">
        <v>25</v>
      </c>
      <c r="R90" s="15">
        <v>5</v>
      </c>
      <c r="S90" s="15"/>
      <c r="T90" s="100"/>
      <c r="U90" s="15"/>
      <c r="V90" s="15"/>
      <c r="W90" s="15"/>
      <c r="X90" s="96"/>
      <c r="Y90" s="69">
        <f ca="1">Table24[[#This Row],[End Date]]+2-TODAY()</f>
        <v>-38</v>
      </c>
      <c r="Z90" s="15">
        <f>IF(ISBLANK(Table24[[#This Row],[Roster Received By]]),1,0)</f>
        <v>1</v>
      </c>
      <c r="AA90" s="15">
        <f ca="1">IF(Table24[[#This Row],[Start Date]]&gt;TODAY(),1,)</f>
        <v>0</v>
      </c>
    </row>
    <row r="91" spans="1:27" s="103" customFormat="1" ht="14.25" customHeight="1" x14ac:dyDescent="0.25">
      <c r="A91" s="61"/>
      <c r="B91" s="96" t="s">
        <v>55</v>
      </c>
      <c r="C91" s="97" t="s">
        <v>104</v>
      </c>
      <c r="D91" s="97" t="s">
        <v>105</v>
      </c>
      <c r="E91" s="96" t="s">
        <v>170</v>
      </c>
      <c r="F91" s="99">
        <v>45740</v>
      </c>
      <c r="G91" s="99">
        <v>45744</v>
      </c>
      <c r="H91" s="102"/>
      <c r="I91" s="102">
        <v>0.33333333333333331</v>
      </c>
      <c r="J91" s="98">
        <v>0.33333333333333331</v>
      </c>
      <c r="K91" s="99"/>
      <c r="L91" s="99"/>
      <c r="M91" s="99"/>
      <c r="N91" s="99"/>
      <c r="O91" s="96" t="s">
        <v>314</v>
      </c>
      <c r="P91" s="96"/>
      <c r="Q91" s="15">
        <v>25</v>
      </c>
      <c r="R91" s="15">
        <v>5</v>
      </c>
      <c r="S91" s="15"/>
      <c r="T91" s="100"/>
      <c r="U91" s="15"/>
      <c r="V91" s="15"/>
      <c r="W91" s="15"/>
      <c r="X91" s="96"/>
      <c r="Y91" s="69">
        <f ca="1">Table24[[#This Row],[End Date]]+2-TODAY()</f>
        <v>-31</v>
      </c>
      <c r="Z91" s="15">
        <f>IF(ISBLANK(Table24[[#This Row],[Roster Received By]]),1,0)</f>
        <v>1</v>
      </c>
      <c r="AA91" s="15">
        <f ca="1">IF(Table24[[#This Row],[Start Date]]&gt;TODAY(),1,)</f>
        <v>0</v>
      </c>
    </row>
    <row r="92" spans="1:27" s="132" customFormat="1" ht="14.25" customHeight="1" x14ac:dyDescent="0.25">
      <c r="A92" s="61"/>
      <c r="B92" s="96" t="s">
        <v>55</v>
      </c>
      <c r="C92" s="97" t="s">
        <v>104</v>
      </c>
      <c r="D92" s="97" t="s">
        <v>105</v>
      </c>
      <c r="E92" s="96" t="s">
        <v>205</v>
      </c>
      <c r="F92" s="99">
        <v>45663</v>
      </c>
      <c r="G92" s="99">
        <v>45667</v>
      </c>
      <c r="H92" s="99"/>
      <c r="I92" s="98">
        <v>0.33333333333333331</v>
      </c>
      <c r="J92" s="98"/>
      <c r="K92" s="98"/>
      <c r="L92" s="98"/>
      <c r="M92" s="98">
        <v>0.33333333333333331</v>
      </c>
      <c r="N92" s="98"/>
      <c r="O92" s="96" t="s">
        <v>314</v>
      </c>
      <c r="P92" s="96"/>
      <c r="Q92" s="15">
        <v>25</v>
      </c>
      <c r="R92" s="15">
        <v>5</v>
      </c>
      <c r="S92" s="15"/>
      <c r="T92" s="100"/>
      <c r="U92" s="15"/>
      <c r="V92" s="15"/>
      <c r="W92" s="15"/>
      <c r="X92" s="96"/>
      <c r="Y92" s="69">
        <f ca="1">Table24[[#This Row],[End Date]]+2-TODAY()</f>
        <v>-108</v>
      </c>
      <c r="Z92" s="15">
        <f>IF(ISBLANK(Table24[[#This Row],[Roster Received By]]),1,0)</f>
        <v>1</v>
      </c>
      <c r="AA92" s="15">
        <f ca="1">IF(Table24[[#This Row],[Start Date]]&gt;TODAY(),1,)</f>
        <v>0</v>
      </c>
    </row>
    <row r="93" spans="1:27" s="103" customFormat="1" ht="16.5" customHeight="1" x14ac:dyDescent="0.25">
      <c r="A93" s="61"/>
      <c r="B93" s="96" t="s">
        <v>55</v>
      </c>
      <c r="C93" s="97" t="s">
        <v>104</v>
      </c>
      <c r="D93" s="97" t="s">
        <v>105</v>
      </c>
      <c r="E93" s="96" t="s">
        <v>205</v>
      </c>
      <c r="F93" s="66">
        <v>45670</v>
      </c>
      <c r="G93" s="66">
        <v>45674</v>
      </c>
      <c r="H93" s="99"/>
      <c r="I93" s="98">
        <v>0.33333333333333331</v>
      </c>
      <c r="J93" s="98"/>
      <c r="K93" s="98"/>
      <c r="L93" s="98"/>
      <c r="M93" s="98">
        <v>0.33333333333333331</v>
      </c>
      <c r="N93" s="98"/>
      <c r="O93" s="96" t="s">
        <v>314</v>
      </c>
      <c r="P93" s="96"/>
      <c r="Q93" s="15">
        <v>25</v>
      </c>
      <c r="R93" s="15">
        <v>5</v>
      </c>
      <c r="S93" s="15"/>
      <c r="T93" s="100"/>
      <c r="U93" s="15"/>
      <c r="V93" s="15"/>
      <c r="W93" s="15"/>
      <c r="X93" s="96"/>
      <c r="Y93" s="69">
        <f ca="1">Table24[[#This Row],[End Date]]+2-TODAY()</f>
        <v>-101</v>
      </c>
      <c r="Z93" s="15">
        <f>IF(ISBLANK(Table24[[#This Row],[Roster Received By]]),1,0)</f>
        <v>1</v>
      </c>
      <c r="AA93" s="15">
        <f ca="1">IF(Table24[[#This Row],[Start Date]]&gt;TODAY(),1,)</f>
        <v>0</v>
      </c>
    </row>
    <row r="94" spans="1:27" s="103" customFormat="1" ht="14.25" customHeight="1" x14ac:dyDescent="0.25">
      <c r="A94" s="61"/>
      <c r="B94" s="96" t="s">
        <v>55</v>
      </c>
      <c r="C94" s="97" t="s">
        <v>104</v>
      </c>
      <c r="D94" s="97" t="s">
        <v>105</v>
      </c>
      <c r="E94" s="96" t="s">
        <v>205</v>
      </c>
      <c r="F94" s="99">
        <v>45810</v>
      </c>
      <c r="G94" s="99">
        <v>45814</v>
      </c>
      <c r="H94" s="102"/>
      <c r="I94" s="102">
        <v>0.33333333333333331</v>
      </c>
      <c r="J94" s="102"/>
      <c r="K94" s="102"/>
      <c r="L94" s="102"/>
      <c r="M94" s="98">
        <v>0.33333333333333331</v>
      </c>
      <c r="N94" s="99"/>
      <c r="O94" s="96" t="s">
        <v>314</v>
      </c>
      <c r="P94" s="96"/>
      <c r="Q94" s="15">
        <v>25</v>
      </c>
      <c r="R94" s="15">
        <v>5</v>
      </c>
      <c r="S94" s="15"/>
      <c r="T94" s="100"/>
      <c r="U94" s="15"/>
      <c r="V94" s="15"/>
      <c r="W94" s="15"/>
      <c r="X94" s="96"/>
      <c r="Y94" s="69">
        <f ca="1">Table24[[#This Row],[End Date]]+2-TODAY()</f>
        <v>39</v>
      </c>
      <c r="Z94" s="15">
        <f>IF(ISBLANK(Table24[[#This Row],[Roster Received By]]),1,0)</f>
        <v>1</v>
      </c>
      <c r="AA94" s="15">
        <f ca="1">IF(Table24[[#This Row],[Start Date]]&gt;TODAY(),1,)</f>
        <v>1</v>
      </c>
    </row>
    <row r="95" spans="1:27" s="103" customFormat="1" ht="14.25" customHeight="1" x14ac:dyDescent="0.25">
      <c r="A95" s="61"/>
      <c r="B95" s="96" t="s">
        <v>55</v>
      </c>
      <c r="C95" s="97" t="s">
        <v>104</v>
      </c>
      <c r="D95" s="97" t="s">
        <v>105</v>
      </c>
      <c r="E95" s="96" t="s">
        <v>205</v>
      </c>
      <c r="F95" s="99">
        <v>45817</v>
      </c>
      <c r="G95" s="99">
        <v>45821</v>
      </c>
      <c r="H95" s="99"/>
      <c r="I95" s="98">
        <v>0.33333333333333331</v>
      </c>
      <c r="J95" s="98"/>
      <c r="K95" s="98"/>
      <c r="L95" s="98"/>
      <c r="M95" s="98">
        <v>0.33333333333333331</v>
      </c>
      <c r="N95" s="98"/>
      <c r="O95" s="96" t="s">
        <v>314</v>
      </c>
      <c r="P95" s="96"/>
      <c r="Q95" s="15">
        <v>25</v>
      </c>
      <c r="R95" s="15">
        <v>5</v>
      </c>
      <c r="S95" s="15"/>
      <c r="T95" s="100"/>
      <c r="U95" s="15"/>
      <c r="V95" s="15"/>
      <c r="W95" s="15"/>
      <c r="X95" s="96"/>
      <c r="Y95" s="69">
        <f ca="1">Table24[[#This Row],[End Date]]+2-TODAY()</f>
        <v>46</v>
      </c>
      <c r="Z95" s="15">
        <f>IF(ISBLANK(Table24[[#This Row],[Roster Received By]]),1,0)</f>
        <v>1</v>
      </c>
      <c r="AA95" s="15">
        <f ca="1">IF(Table24[[#This Row],[Start Date]]&gt;TODAY(),1,)</f>
        <v>1</v>
      </c>
    </row>
    <row r="96" spans="1:27" s="103" customFormat="1" ht="14.25" customHeight="1" x14ac:dyDescent="0.25">
      <c r="A96" s="61"/>
      <c r="B96" s="96" t="s">
        <v>55</v>
      </c>
      <c r="C96" s="97" t="s">
        <v>104</v>
      </c>
      <c r="D96" s="97" t="s">
        <v>105</v>
      </c>
      <c r="E96" s="96" t="s">
        <v>205</v>
      </c>
      <c r="F96" s="99">
        <v>45894</v>
      </c>
      <c r="G96" s="99">
        <v>45898</v>
      </c>
      <c r="H96" s="105"/>
      <c r="I96" s="105">
        <v>0.33333333333333331</v>
      </c>
      <c r="J96" s="99"/>
      <c r="K96" s="99"/>
      <c r="L96" s="99"/>
      <c r="M96" s="98">
        <v>0.33333333333333331</v>
      </c>
      <c r="N96" s="99"/>
      <c r="O96" s="96" t="s">
        <v>314</v>
      </c>
      <c r="P96" s="96"/>
      <c r="Q96" s="15">
        <v>25</v>
      </c>
      <c r="R96" s="15">
        <v>5</v>
      </c>
      <c r="S96" s="15"/>
      <c r="T96" s="100"/>
      <c r="U96" s="15"/>
      <c r="V96" s="15"/>
      <c r="W96" s="15"/>
      <c r="X96" s="96"/>
      <c r="Y96" s="69">
        <f ca="1">Table24[[#This Row],[End Date]]+2-TODAY()</f>
        <v>123</v>
      </c>
      <c r="Z96" s="15">
        <f>IF(ISBLANK(Table24[[#This Row],[Roster Received By]]),1,0)</f>
        <v>1</v>
      </c>
      <c r="AA96" s="15">
        <f ca="1">IF(Table24[[#This Row],[Start Date]]&gt;TODAY(),1,)</f>
        <v>1</v>
      </c>
    </row>
    <row r="97" spans="1:27" s="103" customFormat="1" ht="14.25" customHeight="1" x14ac:dyDescent="0.25">
      <c r="A97" s="61"/>
      <c r="B97" s="96" t="s">
        <v>55</v>
      </c>
      <c r="C97" s="97" t="s">
        <v>104</v>
      </c>
      <c r="D97" s="97" t="s">
        <v>105</v>
      </c>
      <c r="E97" s="64" t="s">
        <v>220</v>
      </c>
      <c r="F97" s="99">
        <v>45712</v>
      </c>
      <c r="G97" s="99">
        <v>45716</v>
      </c>
      <c r="H97" s="102"/>
      <c r="I97" s="102">
        <v>0.33333333333333331</v>
      </c>
      <c r="J97" s="99"/>
      <c r="K97" s="99"/>
      <c r="L97" s="99"/>
      <c r="M97" s="99"/>
      <c r="N97" s="98">
        <v>0.33333333333333331</v>
      </c>
      <c r="O97" s="96" t="s">
        <v>314</v>
      </c>
      <c r="P97" s="96"/>
      <c r="Q97" s="15">
        <v>25</v>
      </c>
      <c r="R97" s="15">
        <v>5</v>
      </c>
      <c r="S97" s="15"/>
      <c r="T97" s="100"/>
      <c r="U97" s="15"/>
      <c r="V97" s="15"/>
      <c r="W97" s="15"/>
      <c r="X97" s="96"/>
      <c r="Y97" s="69">
        <f ca="1">Table24[[#This Row],[End Date]]+2-TODAY()</f>
        <v>-59</v>
      </c>
      <c r="Z97" s="15">
        <f>IF(ISBLANK(Table24[[#This Row],[Roster Received By]]),1,0)</f>
        <v>1</v>
      </c>
      <c r="AA97" s="15">
        <f ca="1">IF(Table24[[#This Row],[Start Date]]&gt;TODAY(),1,)</f>
        <v>0</v>
      </c>
    </row>
    <row r="98" spans="1:27" s="103" customFormat="1" ht="14.25" customHeight="1" x14ac:dyDescent="0.25">
      <c r="A98" s="61"/>
      <c r="B98" s="96" t="s">
        <v>55</v>
      </c>
      <c r="C98" s="97" t="s">
        <v>104</v>
      </c>
      <c r="D98" s="97" t="s">
        <v>105</v>
      </c>
      <c r="E98" s="64" t="s">
        <v>220</v>
      </c>
      <c r="F98" s="99">
        <v>45719</v>
      </c>
      <c r="G98" s="99">
        <v>45723</v>
      </c>
      <c r="H98" s="102"/>
      <c r="I98" s="102">
        <v>0.33333333333333331</v>
      </c>
      <c r="J98" s="99"/>
      <c r="K98" s="99"/>
      <c r="L98" s="99"/>
      <c r="M98" s="99"/>
      <c r="N98" s="98">
        <v>0.33333333333333331</v>
      </c>
      <c r="O98" s="96" t="s">
        <v>314</v>
      </c>
      <c r="P98" s="96"/>
      <c r="Q98" s="15">
        <v>25</v>
      </c>
      <c r="R98" s="15">
        <v>5</v>
      </c>
      <c r="S98" s="15"/>
      <c r="T98" s="100"/>
      <c r="U98" s="15"/>
      <c r="V98" s="15"/>
      <c r="W98" s="15"/>
      <c r="X98" s="96"/>
      <c r="Y98" s="69">
        <f ca="1">Table24[[#This Row],[End Date]]+2-TODAY()</f>
        <v>-52</v>
      </c>
      <c r="Z98" s="15">
        <f>IF(ISBLANK(Table24[[#This Row],[Roster Received By]]),1,0)</f>
        <v>1</v>
      </c>
      <c r="AA98" s="15">
        <f ca="1">IF(Table24[[#This Row],[Start Date]]&gt;TODAY(),1,)</f>
        <v>0</v>
      </c>
    </row>
    <row r="99" spans="1:27" s="103" customFormat="1" ht="14.25" customHeight="1" x14ac:dyDescent="0.25">
      <c r="A99" s="61"/>
      <c r="B99" s="96" t="s">
        <v>55</v>
      </c>
      <c r="C99" s="97" t="s">
        <v>104</v>
      </c>
      <c r="D99" s="97" t="s">
        <v>105</v>
      </c>
      <c r="E99" s="96" t="s">
        <v>197</v>
      </c>
      <c r="F99" s="66">
        <v>45642</v>
      </c>
      <c r="G99" s="99">
        <v>45646</v>
      </c>
      <c r="H99" s="99"/>
      <c r="I99" s="98">
        <v>0.33333333333333331</v>
      </c>
      <c r="J99" s="98"/>
      <c r="K99" s="98"/>
      <c r="L99" s="98"/>
      <c r="M99" s="98"/>
      <c r="N99" s="98"/>
      <c r="O99" s="96" t="s">
        <v>314</v>
      </c>
      <c r="P99" s="96"/>
      <c r="Q99" s="15">
        <v>25</v>
      </c>
      <c r="R99" s="15">
        <v>5</v>
      </c>
      <c r="S99" s="15"/>
      <c r="T99" s="100"/>
      <c r="U99" s="15"/>
      <c r="V99" s="15"/>
      <c r="W99" s="15"/>
      <c r="X99" s="96"/>
      <c r="Y99" s="69">
        <f ca="1">Table24[[#This Row],[End Date]]+2-TODAY()</f>
        <v>-129</v>
      </c>
      <c r="Z99" s="15">
        <f>IF(ISBLANK(Table24[[#This Row],[Roster Received By]]),1,0)</f>
        <v>1</v>
      </c>
      <c r="AA99" s="15">
        <f ca="1">IF(Table24[[#This Row],[Start Date]]&gt;TODAY(),1,)</f>
        <v>0</v>
      </c>
    </row>
    <row r="100" spans="1:27" s="132" customFormat="1" x14ac:dyDescent="0.25">
      <c r="A100" s="61"/>
      <c r="B100" s="96" t="s">
        <v>55</v>
      </c>
      <c r="C100" s="97" t="s">
        <v>104</v>
      </c>
      <c r="D100" s="97" t="s">
        <v>105</v>
      </c>
      <c r="E100" s="96" t="s">
        <v>197</v>
      </c>
      <c r="F100" s="99">
        <v>45894</v>
      </c>
      <c r="G100" s="99">
        <v>45898</v>
      </c>
      <c r="H100" s="102"/>
      <c r="I100" s="98">
        <v>0.33333333333333331</v>
      </c>
      <c r="J100" s="99"/>
      <c r="K100" s="99"/>
      <c r="L100" s="99"/>
      <c r="M100" s="99"/>
      <c r="N100" s="99"/>
      <c r="O100" s="96" t="s">
        <v>314</v>
      </c>
      <c r="P100" s="96"/>
      <c r="Q100" s="15">
        <v>25</v>
      </c>
      <c r="R100" s="15">
        <v>5</v>
      </c>
      <c r="S100" s="15"/>
      <c r="T100" s="100"/>
      <c r="U100" s="15"/>
      <c r="V100" s="15"/>
      <c r="W100" s="15"/>
      <c r="X100" s="96"/>
      <c r="Y100" s="69">
        <f ca="1">Table24[[#This Row],[End Date]]+2-TODAY()</f>
        <v>123</v>
      </c>
      <c r="Z100" s="15">
        <f>IF(ISBLANK(Table24[[#This Row],[Roster Received By]]),1,0)</f>
        <v>1</v>
      </c>
      <c r="AA100" s="15">
        <f ca="1">IF(Table24[[#This Row],[Start Date]]&gt;TODAY(),1,)</f>
        <v>1</v>
      </c>
    </row>
    <row r="101" spans="1:27" s="132" customFormat="1" x14ac:dyDescent="0.25">
      <c r="A101" s="61"/>
      <c r="B101" s="96" t="s">
        <v>55</v>
      </c>
      <c r="C101" s="97" t="s">
        <v>104</v>
      </c>
      <c r="D101" s="97" t="s">
        <v>105</v>
      </c>
      <c r="E101" s="96" t="s">
        <v>219</v>
      </c>
      <c r="F101" s="95">
        <v>45775</v>
      </c>
      <c r="G101" s="95">
        <v>45779</v>
      </c>
      <c r="H101" s="66"/>
      <c r="I101" s="98">
        <v>0.33333333333333331</v>
      </c>
      <c r="J101" s="98">
        <v>0.33333333333333331</v>
      </c>
      <c r="K101" s="98"/>
      <c r="L101" s="98"/>
      <c r="M101" s="98"/>
      <c r="N101" s="98"/>
      <c r="O101" s="96" t="s">
        <v>314</v>
      </c>
      <c r="P101" s="96"/>
      <c r="Q101" s="15">
        <v>25</v>
      </c>
      <c r="R101" s="15">
        <v>5</v>
      </c>
      <c r="S101" s="15"/>
      <c r="T101" s="100"/>
      <c r="U101" s="15"/>
      <c r="V101" s="15"/>
      <c r="W101" s="15"/>
      <c r="X101" s="96"/>
      <c r="Y101" s="69">
        <f ca="1">Table24[[#This Row],[End Date]]+2-TODAY()</f>
        <v>4</v>
      </c>
      <c r="Z101" s="15">
        <f>IF(ISBLANK(Table24[[#This Row],[Roster Received By]]),1,0)</f>
        <v>1</v>
      </c>
      <c r="AA101" s="15">
        <f ca="1">IF(Table24[[#This Row],[Start Date]]&gt;TODAY(),1,)</f>
        <v>0</v>
      </c>
    </row>
    <row r="102" spans="1:27" s="132" customFormat="1" x14ac:dyDescent="0.25">
      <c r="A102" s="61"/>
      <c r="B102" s="96" t="s">
        <v>55</v>
      </c>
      <c r="C102" s="97" t="s">
        <v>104</v>
      </c>
      <c r="D102" s="97" t="s">
        <v>105</v>
      </c>
      <c r="E102" s="96" t="s">
        <v>219</v>
      </c>
      <c r="F102" s="99">
        <v>45782</v>
      </c>
      <c r="G102" s="99">
        <v>45786</v>
      </c>
      <c r="H102" s="99"/>
      <c r="I102" s="98">
        <v>0.33333333333333331</v>
      </c>
      <c r="J102" s="98">
        <v>0.33333333333333331</v>
      </c>
      <c r="K102" s="98"/>
      <c r="L102" s="98"/>
      <c r="M102" s="98"/>
      <c r="N102" s="98"/>
      <c r="O102" s="96" t="s">
        <v>314</v>
      </c>
      <c r="P102" s="96"/>
      <c r="Q102" s="15">
        <v>25</v>
      </c>
      <c r="R102" s="15">
        <v>5</v>
      </c>
      <c r="S102" s="15"/>
      <c r="T102" s="100"/>
      <c r="U102" s="15"/>
      <c r="V102" s="15"/>
      <c r="W102" s="15"/>
      <c r="X102" s="96"/>
      <c r="Y102" s="69">
        <f ca="1">Table24[[#This Row],[End Date]]+2-TODAY()</f>
        <v>11</v>
      </c>
      <c r="Z102" s="15">
        <f>IF(ISBLANK(Table24[[#This Row],[Roster Received By]]),1,0)</f>
        <v>1</v>
      </c>
      <c r="AA102" s="15">
        <f ca="1">IF(Table24[[#This Row],[Start Date]]&gt;TODAY(),1,)</f>
        <v>1</v>
      </c>
    </row>
    <row r="103" spans="1:27" s="103" customFormat="1" ht="14.25" customHeight="1" x14ac:dyDescent="0.25">
      <c r="A103" s="61"/>
      <c r="B103" s="96" t="s">
        <v>55</v>
      </c>
      <c r="C103" s="97" t="s">
        <v>104</v>
      </c>
      <c r="D103" s="97" t="s">
        <v>105</v>
      </c>
      <c r="E103" s="96" t="s">
        <v>284</v>
      </c>
      <c r="F103" s="99">
        <v>45754</v>
      </c>
      <c r="G103" s="99">
        <v>45758</v>
      </c>
      <c r="H103" s="99"/>
      <c r="I103" s="98">
        <v>0.33333333333333331</v>
      </c>
      <c r="J103" s="98"/>
      <c r="K103" s="98"/>
      <c r="L103" s="98"/>
      <c r="M103" s="98"/>
      <c r="N103" s="98"/>
      <c r="O103" s="96" t="s">
        <v>314</v>
      </c>
      <c r="P103" s="96"/>
      <c r="Q103" s="15">
        <v>25</v>
      </c>
      <c r="R103" s="15">
        <v>5</v>
      </c>
      <c r="S103" s="15"/>
      <c r="T103" s="100"/>
      <c r="U103" s="15"/>
      <c r="V103" s="15"/>
      <c r="W103" s="15"/>
      <c r="X103" s="96"/>
      <c r="Y103" s="69">
        <f ca="1">Table24[[#This Row],[End Date]]+2-TODAY()</f>
        <v>-17</v>
      </c>
      <c r="Z103" s="15">
        <f>IF(ISBLANK(Table24[[#This Row],[Roster Received By]]),1,0)</f>
        <v>1</v>
      </c>
      <c r="AA103" s="15">
        <f ca="1">IF(Table24[[#This Row],[Start Date]]&gt;TODAY(),1,)</f>
        <v>0</v>
      </c>
    </row>
    <row r="104" spans="1:27" s="103" customFormat="1" ht="16.5" customHeight="1" x14ac:dyDescent="0.25">
      <c r="A104" s="61"/>
      <c r="B104" s="96" t="s">
        <v>55</v>
      </c>
      <c r="C104" s="97" t="s">
        <v>104</v>
      </c>
      <c r="D104" s="97" t="s">
        <v>105</v>
      </c>
      <c r="E104" s="96" t="s">
        <v>284</v>
      </c>
      <c r="F104" s="99">
        <v>45761</v>
      </c>
      <c r="G104" s="99">
        <v>45765</v>
      </c>
      <c r="H104" s="99"/>
      <c r="I104" s="98">
        <v>0.33333333333333331</v>
      </c>
      <c r="J104" s="98"/>
      <c r="K104" s="98"/>
      <c r="L104" s="98"/>
      <c r="M104" s="98"/>
      <c r="N104" s="98"/>
      <c r="O104" s="96" t="s">
        <v>314</v>
      </c>
      <c r="P104" s="96"/>
      <c r="Q104" s="15">
        <v>25</v>
      </c>
      <c r="R104" s="15">
        <v>5</v>
      </c>
      <c r="S104" s="15"/>
      <c r="T104" s="100"/>
      <c r="U104" s="15"/>
      <c r="V104" s="15"/>
      <c r="W104" s="104"/>
      <c r="X104" s="96"/>
      <c r="Y104" s="69">
        <f ca="1">Table24[[#This Row],[End Date]]+2-TODAY()</f>
        <v>-10</v>
      </c>
      <c r="Z104" s="15">
        <f>IF(ISBLANK(Table24[[#This Row],[Roster Received By]]),1,0)</f>
        <v>1</v>
      </c>
      <c r="AA104" s="15">
        <f ca="1">IF(Table24[[#This Row],[Start Date]]&gt;TODAY(),1,)</f>
        <v>0</v>
      </c>
    </row>
    <row r="105" spans="1:27" s="103" customFormat="1" ht="14.25" customHeight="1" x14ac:dyDescent="0.25">
      <c r="A105" s="61"/>
      <c r="B105" s="96" t="s">
        <v>55</v>
      </c>
      <c r="C105" s="97" t="s">
        <v>104</v>
      </c>
      <c r="D105" s="97" t="s">
        <v>105</v>
      </c>
      <c r="E105" s="96" t="s">
        <v>185</v>
      </c>
      <c r="F105" s="99">
        <v>45628</v>
      </c>
      <c r="G105" s="99">
        <v>45632</v>
      </c>
      <c r="H105" s="102"/>
      <c r="I105" s="98">
        <v>0.33333333333333331</v>
      </c>
      <c r="J105" s="99"/>
      <c r="K105" s="99"/>
      <c r="L105" s="99"/>
      <c r="M105" s="99"/>
      <c r="N105" s="99"/>
      <c r="O105" s="96" t="s">
        <v>314</v>
      </c>
      <c r="P105" s="96"/>
      <c r="Q105" s="15">
        <v>25</v>
      </c>
      <c r="R105" s="15">
        <v>5</v>
      </c>
      <c r="S105" s="15"/>
      <c r="T105" s="100"/>
      <c r="U105" s="15"/>
      <c r="V105" s="15"/>
      <c r="W105" s="15"/>
      <c r="X105" s="96"/>
      <c r="Y105" s="69">
        <f ca="1">Table24[[#This Row],[End Date]]+2-TODAY()</f>
        <v>-143</v>
      </c>
      <c r="Z105" s="15">
        <f>IF(ISBLANK(Table24[[#This Row],[Roster Received By]]),1,0)</f>
        <v>1</v>
      </c>
      <c r="AA105" s="15">
        <f ca="1">IF(Table24[[#This Row],[Start Date]]&gt;TODAY(),1,)</f>
        <v>0</v>
      </c>
    </row>
    <row r="106" spans="1:27" s="103" customFormat="1" ht="14.25" customHeight="1" x14ac:dyDescent="0.25">
      <c r="A106" s="61"/>
      <c r="B106" s="96" t="s">
        <v>55</v>
      </c>
      <c r="C106" s="97" t="s">
        <v>104</v>
      </c>
      <c r="D106" s="97" t="s">
        <v>105</v>
      </c>
      <c r="E106" s="96" t="s">
        <v>185</v>
      </c>
      <c r="F106" s="99">
        <v>45635</v>
      </c>
      <c r="G106" s="99">
        <v>45639</v>
      </c>
      <c r="H106" s="102"/>
      <c r="I106" s="98">
        <v>0.33333333333333331</v>
      </c>
      <c r="J106" s="102"/>
      <c r="K106" s="102"/>
      <c r="L106" s="102"/>
      <c r="M106" s="102"/>
      <c r="N106" s="99"/>
      <c r="O106" s="96" t="s">
        <v>314</v>
      </c>
      <c r="P106" s="96"/>
      <c r="Q106" s="15">
        <v>25</v>
      </c>
      <c r="R106" s="15">
        <v>5</v>
      </c>
      <c r="S106" s="15"/>
      <c r="T106" s="100"/>
      <c r="U106" s="15"/>
      <c r="V106" s="15"/>
      <c r="W106" s="15"/>
      <c r="X106" s="96"/>
      <c r="Y106" s="69">
        <f ca="1">Table24[[#This Row],[End Date]]+2-TODAY()</f>
        <v>-136</v>
      </c>
      <c r="Z106" s="15">
        <f>IF(ISBLANK(Table24[[#This Row],[Roster Received By]]),1,0)</f>
        <v>1</v>
      </c>
      <c r="AA106" s="15">
        <f ca="1">IF(Table24[[#This Row],[Start Date]]&gt;TODAY(),1,)</f>
        <v>0</v>
      </c>
    </row>
    <row r="107" spans="1:27" s="133" customFormat="1" ht="14.25" customHeight="1" x14ac:dyDescent="0.25">
      <c r="A107" s="61"/>
      <c r="B107" s="96" t="s">
        <v>55</v>
      </c>
      <c r="C107" s="97" t="s">
        <v>104</v>
      </c>
      <c r="D107" s="97" t="s">
        <v>105</v>
      </c>
      <c r="E107" s="96" t="s">
        <v>197</v>
      </c>
      <c r="F107" s="99">
        <v>45586</v>
      </c>
      <c r="G107" s="99">
        <v>45590</v>
      </c>
      <c r="H107" s="102"/>
      <c r="I107" s="98">
        <v>0.33333333333333331</v>
      </c>
      <c r="J107" s="102"/>
      <c r="K107" s="102"/>
      <c r="L107" s="102"/>
      <c r="M107" s="102"/>
      <c r="N107" s="99"/>
      <c r="O107" s="96" t="s">
        <v>314</v>
      </c>
      <c r="P107" s="96"/>
      <c r="Q107" s="15">
        <v>25</v>
      </c>
      <c r="R107" s="15">
        <v>5</v>
      </c>
      <c r="S107" s="15"/>
      <c r="T107" s="100"/>
      <c r="U107" s="15"/>
      <c r="V107" s="15"/>
      <c r="W107" s="15"/>
      <c r="X107" s="96"/>
      <c r="Y107" s="69">
        <f ca="1">Table24[[#This Row],[End Date]]+2-TODAY()</f>
        <v>-185</v>
      </c>
      <c r="Z107" s="15">
        <f>IF(ISBLANK(Table24[[#This Row],[Roster Received By]]),1,0)</f>
        <v>1</v>
      </c>
      <c r="AA107" s="15">
        <f ca="1">IF(Table24[[#This Row],[Start Date]]&gt;TODAY(),1,)</f>
        <v>0</v>
      </c>
    </row>
    <row r="108" spans="1:27" s="103" customFormat="1" ht="14.25" customHeight="1" x14ac:dyDescent="0.25">
      <c r="A108" s="61"/>
      <c r="B108" s="96" t="s">
        <v>55</v>
      </c>
      <c r="C108" s="97" t="s">
        <v>104</v>
      </c>
      <c r="D108" s="97" t="s">
        <v>105</v>
      </c>
      <c r="E108" s="96" t="s">
        <v>197</v>
      </c>
      <c r="F108" s="99">
        <v>45593</v>
      </c>
      <c r="G108" s="99">
        <v>45597</v>
      </c>
      <c r="H108" s="99"/>
      <c r="I108" s="98">
        <v>0.33333333333333331</v>
      </c>
      <c r="J108" s="98"/>
      <c r="K108" s="98"/>
      <c r="L108" s="98"/>
      <c r="M108" s="98"/>
      <c r="N108" s="98"/>
      <c r="O108" s="96" t="s">
        <v>314</v>
      </c>
      <c r="P108" s="96"/>
      <c r="Q108" s="15">
        <v>25</v>
      </c>
      <c r="R108" s="15">
        <v>5</v>
      </c>
      <c r="S108" s="15"/>
      <c r="T108" s="100"/>
      <c r="U108" s="15"/>
      <c r="V108" s="15"/>
      <c r="W108" s="15"/>
      <c r="X108" s="96"/>
      <c r="Y108" s="69">
        <f ca="1">Table24[[#This Row],[End Date]]+2-TODAY()</f>
        <v>-178</v>
      </c>
      <c r="Z108" s="15">
        <f>IF(ISBLANK(Table24[[#This Row],[Roster Received By]]),1,0)</f>
        <v>1</v>
      </c>
      <c r="AA108" s="15">
        <f ca="1">IF(Table24[[#This Row],[Start Date]]&gt;TODAY(),1,)</f>
        <v>0</v>
      </c>
    </row>
    <row r="109" spans="1:27" s="103" customFormat="1" ht="14.25" customHeight="1" x14ac:dyDescent="0.25">
      <c r="A109" s="61"/>
      <c r="B109" s="96" t="s">
        <v>55</v>
      </c>
      <c r="C109" s="97" t="s">
        <v>104</v>
      </c>
      <c r="D109" s="97" t="s">
        <v>105</v>
      </c>
      <c r="E109" s="96" t="s">
        <v>197</v>
      </c>
      <c r="F109" s="99">
        <v>45663</v>
      </c>
      <c r="G109" s="99">
        <v>45667</v>
      </c>
      <c r="H109" s="99"/>
      <c r="I109" s="98">
        <v>0.33333333333333331</v>
      </c>
      <c r="J109" s="98"/>
      <c r="K109" s="98"/>
      <c r="L109" s="98"/>
      <c r="M109" s="98"/>
      <c r="N109" s="98"/>
      <c r="O109" s="96" t="s">
        <v>314</v>
      </c>
      <c r="P109" s="96"/>
      <c r="Q109" s="15">
        <v>25</v>
      </c>
      <c r="R109" s="15">
        <v>5</v>
      </c>
      <c r="S109" s="15"/>
      <c r="T109" s="100"/>
      <c r="U109" s="15"/>
      <c r="V109" s="15"/>
      <c r="W109" s="15"/>
      <c r="X109" s="96"/>
      <c r="Y109" s="69">
        <f ca="1">Table24[[#This Row],[End Date]]+2-TODAY()</f>
        <v>-108</v>
      </c>
      <c r="Z109" s="15">
        <f>IF(ISBLANK(Table24[[#This Row],[Roster Received By]]),1,0)</f>
        <v>1</v>
      </c>
      <c r="AA109" s="15">
        <f ca="1">IF(Table24[[#This Row],[Start Date]]&gt;TODAY(),1,)</f>
        <v>0</v>
      </c>
    </row>
    <row r="110" spans="1:27" s="103" customFormat="1" ht="14.25" customHeight="1" x14ac:dyDescent="0.25">
      <c r="A110" s="61"/>
      <c r="B110" s="96" t="s">
        <v>55</v>
      </c>
      <c r="C110" s="97" t="s">
        <v>104</v>
      </c>
      <c r="D110" s="97" t="s">
        <v>105</v>
      </c>
      <c r="E110" s="96" t="s">
        <v>197</v>
      </c>
      <c r="F110" s="66">
        <v>45670</v>
      </c>
      <c r="G110" s="66">
        <v>45674</v>
      </c>
      <c r="H110" s="98"/>
      <c r="I110" s="98">
        <v>0.33333333333333331</v>
      </c>
      <c r="J110" s="99"/>
      <c r="K110" s="99"/>
      <c r="L110" s="99"/>
      <c r="M110" s="99"/>
      <c r="N110" s="99"/>
      <c r="O110" s="96" t="s">
        <v>314</v>
      </c>
      <c r="P110" s="96"/>
      <c r="Q110" s="15">
        <v>25</v>
      </c>
      <c r="R110" s="15">
        <v>5</v>
      </c>
      <c r="S110" s="15"/>
      <c r="T110" s="100"/>
      <c r="U110" s="15"/>
      <c r="V110" s="15"/>
      <c r="W110" s="15"/>
      <c r="X110" s="96"/>
      <c r="Y110" s="69">
        <f ca="1">Table24[[#This Row],[End Date]]+2-TODAY()</f>
        <v>-101</v>
      </c>
      <c r="Z110" s="15">
        <f>IF(ISBLANK(Table24[[#This Row],[Roster Received By]]),1,0)</f>
        <v>1</v>
      </c>
      <c r="AA110" s="15">
        <f ca="1">IF(Table24[[#This Row],[Start Date]]&gt;TODAY(),1,)</f>
        <v>0</v>
      </c>
    </row>
    <row r="111" spans="1:27" s="103" customFormat="1" ht="14.25" customHeight="1" x14ac:dyDescent="0.25">
      <c r="A111" s="61"/>
      <c r="B111" s="96" t="s">
        <v>55</v>
      </c>
      <c r="C111" s="97" t="s">
        <v>104</v>
      </c>
      <c r="D111" s="97" t="s">
        <v>105</v>
      </c>
      <c r="E111" s="96" t="s">
        <v>197</v>
      </c>
      <c r="F111" s="99">
        <v>45754</v>
      </c>
      <c r="G111" s="99">
        <v>45758</v>
      </c>
      <c r="H111" s="99"/>
      <c r="I111" s="98">
        <v>0.33333333333333331</v>
      </c>
      <c r="J111" s="98"/>
      <c r="K111" s="98"/>
      <c r="L111" s="98"/>
      <c r="M111" s="98"/>
      <c r="N111" s="98"/>
      <c r="O111" s="96" t="s">
        <v>314</v>
      </c>
      <c r="P111" s="96"/>
      <c r="Q111" s="15">
        <v>25</v>
      </c>
      <c r="R111" s="15">
        <v>5</v>
      </c>
      <c r="S111" s="15"/>
      <c r="T111" s="100"/>
      <c r="U111" s="15"/>
      <c r="V111" s="15"/>
      <c r="W111" s="97"/>
      <c r="X111" s="96"/>
      <c r="Y111" s="69">
        <f ca="1">Table24[[#This Row],[End Date]]+2-TODAY()</f>
        <v>-17</v>
      </c>
      <c r="Z111" s="15">
        <f>IF(ISBLANK(Table24[[#This Row],[Roster Received By]]),1,0)</f>
        <v>1</v>
      </c>
      <c r="AA111" s="15">
        <f ca="1">IF(Table24[[#This Row],[Start Date]]&gt;TODAY(),1,)</f>
        <v>0</v>
      </c>
    </row>
    <row r="112" spans="1:27" s="103" customFormat="1" ht="14.25" customHeight="1" x14ac:dyDescent="0.25">
      <c r="A112" s="61"/>
      <c r="B112" s="96" t="s">
        <v>55</v>
      </c>
      <c r="C112" s="97" t="s">
        <v>104</v>
      </c>
      <c r="D112" s="97" t="s">
        <v>105</v>
      </c>
      <c r="E112" s="96" t="s">
        <v>197</v>
      </c>
      <c r="F112" s="99">
        <v>45761</v>
      </c>
      <c r="G112" s="99">
        <v>45765</v>
      </c>
      <c r="H112" s="99"/>
      <c r="I112" s="98">
        <v>0.33333333333333331</v>
      </c>
      <c r="J112" s="98"/>
      <c r="K112" s="98"/>
      <c r="L112" s="98"/>
      <c r="M112" s="98"/>
      <c r="N112" s="98"/>
      <c r="O112" s="96" t="s">
        <v>314</v>
      </c>
      <c r="P112" s="96"/>
      <c r="Q112" s="15">
        <v>25</v>
      </c>
      <c r="R112" s="15">
        <v>5</v>
      </c>
      <c r="S112" s="15"/>
      <c r="T112" s="100"/>
      <c r="U112" s="15"/>
      <c r="V112" s="15"/>
      <c r="W112" s="15"/>
      <c r="X112" s="96"/>
      <c r="Y112" s="69">
        <f ca="1">Table24[[#This Row],[End Date]]+2-TODAY()</f>
        <v>-10</v>
      </c>
      <c r="Z112" s="15">
        <f>IF(ISBLANK(Table24[[#This Row],[Roster Received By]]),1,0)</f>
        <v>1</v>
      </c>
      <c r="AA112" s="15">
        <f ca="1">IF(Table24[[#This Row],[Start Date]]&gt;TODAY(),1,)</f>
        <v>0</v>
      </c>
    </row>
    <row r="113" spans="1:27" s="103" customFormat="1" ht="14.25" customHeight="1" x14ac:dyDescent="0.25">
      <c r="A113" s="61"/>
      <c r="B113" s="96" t="s">
        <v>55</v>
      </c>
      <c r="C113" s="97" t="s">
        <v>104</v>
      </c>
      <c r="D113" s="97" t="s">
        <v>105</v>
      </c>
      <c r="E113" s="96" t="s">
        <v>197</v>
      </c>
      <c r="F113" s="99">
        <v>45845</v>
      </c>
      <c r="G113" s="99">
        <v>45849</v>
      </c>
      <c r="H113" s="99"/>
      <c r="I113" s="98">
        <v>0.33333333333333331</v>
      </c>
      <c r="J113" s="98"/>
      <c r="K113" s="98"/>
      <c r="L113" s="98"/>
      <c r="M113" s="98"/>
      <c r="N113" s="98"/>
      <c r="O113" s="96" t="s">
        <v>314</v>
      </c>
      <c r="P113" s="96"/>
      <c r="Q113" s="15">
        <v>25</v>
      </c>
      <c r="R113" s="15">
        <v>5</v>
      </c>
      <c r="S113" s="15"/>
      <c r="T113" s="100"/>
      <c r="U113" s="15"/>
      <c r="V113" s="15"/>
      <c r="W113" s="101"/>
      <c r="X113" s="96"/>
      <c r="Y113" s="69">
        <f ca="1">Table24[[#This Row],[End Date]]+2-TODAY()</f>
        <v>74</v>
      </c>
      <c r="Z113" s="15">
        <f>IF(ISBLANK(Table24[[#This Row],[Roster Received By]]),1,0)</f>
        <v>1</v>
      </c>
      <c r="AA113" s="15">
        <f ca="1">IF(Table24[[#This Row],[Start Date]]&gt;TODAY(),1,)</f>
        <v>1</v>
      </c>
    </row>
    <row r="114" spans="1:27" s="103" customFormat="1" ht="14.25" customHeight="1" x14ac:dyDescent="0.25">
      <c r="A114" s="61"/>
      <c r="B114" s="96" t="s">
        <v>55</v>
      </c>
      <c r="C114" s="97" t="s">
        <v>104</v>
      </c>
      <c r="D114" s="97" t="s">
        <v>105</v>
      </c>
      <c r="E114" s="96" t="s">
        <v>197</v>
      </c>
      <c r="F114" s="66">
        <v>45852</v>
      </c>
      <c r="G114" s="66">
        <v>45856</v>
      </c>
      <c r="H114" s="105"/>
      <c r="I114" s="98">
        <v>0.33333333333333331</v>
      </c>
      <c r="J114" s="99"/>
      <c r="K114" s="99"/>
      <c r="L114" s="99"/>
      <c r="M114" s="99"/>
      <c r="N114" s="99"/>
      <c r="O114" s="96" t="s">
        <v>314</v>
      </c>
      <c r="P114" s="96"/>
      <c r="Q114" s="15">
        <v>25</v>
      </c>
      <c r="R114" s="15">
        <v>5</v>
      </c>
      <c r="S114" s="15"/>
      <c r="T114" s="100"/>
      <c r="U114" s="15"/>
      <c r="V114" s="15"/>
      <c r="W114" s="15"/>
      <c r="X114" s="96"/>
      <c r="Y114" s="69">
        <f ca="1">Table24[[#This Row],[End Date]]+2-TODAY()</f>
        <v>81</v>
      </c>
      <c r="Z114" s="15">
        <f>IF(ISBLANK(Table24[[#This Row],[Roster Received By]]),1,0)</f>
        <v>1</v>
      </c>
      <c r="AA114" s="15">
        <f ca="1">IF(Table24[[#This Row],[Start Date]]&gt;TODAY(),1,)</f>
        <v>1</v>
      </c>
    </row>
    <row r="115" spans="1:27" s="103" customFormat="1" ht="14.25" customHeight="1" x14ac:dyDescent="0.25">
      <c r="A115" s="61"/>
      <c r="B115" s="96" t="s">
        <v>55</v>
      </c>
      <c r="C115" s="97" t="s">
        <v>104</v>
      </c>
      <c r="D115" s="97" t="s">
        <v>105</v>
      </c>
      <c r="E115" s="96" t="s">
        <v>197</v>
      </c>
      <c r="F115" s="66">
        <v>45873</v>
      </c>
      <c r="G115" s="99">
        <v>45877</v>
      </c>
      <c r="H115" s="99"/>
      <c r="I115" s="98">
        <v>0.33333333333333331</v>
      </c>
      <c r="J115" s="98"/>
      <c r="K115" s="98"/>
      <c r="L115" s="98"/>
      <c r="M115" s="98"/>
      <c r="N115" s="98"/>
      <c r="O115" s="96" t="s">
        <v>314</v>
      </c>
      <c r="P115" s="96"/>
      <c r="Q115" s="15">
        <v>25</v>
      </c>
      <c r="R115" s="15">
        <v>5</v>
      </c>
      <c r="S115" s="15"/>
      <c r="T115" s="100"/>
      <c r="U115" s="15"/>
      <c r="V115" s="15"/>
      <c r="W115" s="15"/>
      <c r="X115" s="96"/>
      <c r="Y115" s="69">
        <f ca="1">Table24[[#This Row],[End Date]]+2-TODAY()</f>
        <v>102</v>
      </c>
      <c r="Z115" s="15">
        <f>IF(ISBLANK(Table24[[#This Row],[Roster Received By]]),1,0)</f>
        <v>1</v>
      </c>
      <c r="AA115" s="15">
        <f ca="1">IF(Table24[[#This Row],[Start Date]]&gt;TODAY(),1,)</f>
        <v>1</v>
      </c>
    </row>
    <row r="116" spans="1:27" s="132" customFormat="1" ht="14.25" customHeight="1" x14ac:dyDescent="0.25">
      <c r="A116" s="61"/>
      <c r="B116" s="96" t="s">
        <v>55</v>
      </c>
      <c r="C116" s="97" t="s">
        <v>104</v>
      </c>
      <c r="D116" s="97" t="s">
        <v>105</v>
      </c>
      <c r="E116" s="96" t="s">
        <v>197</v>
      </c>
      <c r="F116" s="99">
        <v>45887</v>
      </c>
      <c r="G116" s="99">
        <v>45891</v>
      </c>
      <c r="H116" s="102"/>
      <c r="I116" s="98">
        <v>0.33333333333333331</v>
      </c>
      <c r="J116" s="99"/>
      <c r="K116" s="99"/>
      <c r="L116" s="99"/>
      <c r="M116" s="99"/>
      <c r="N116" s="99"/>
      <c r="O116" s="96" t="s">
        <v>314</v>
      </c>
      <c r="P116" s="96"/>
      <c r="Q116" s="15">
        <v>25</v>
      </c>
      <c r="R116" s="15">
        <v>5</v>
      </c>
      <c r="S116" s="15"/>
      <c r="T116" s="100"/>
      <c r="U116" s="15"/>
      <c r="V116" s="15"/>
      <c r="W116" s="15"/>
      <c r="X116" s="96"/>
      <c r="Y116" s="69">
        <f ca="1">Table24[[#This Row],[End Date]]+2-TODAY()</f>
        <v>116</v>
      </c>
      <c r="Z116" s="15">
        <f>IF(ISBLANK(Table24[[#This Row],[Roster Received By]]),1,0)</f>
        <v>1</v>
      </c>
      <c r="AA116" s="15">
        <f ca="1">IF(Table24[[#This Row],[Start Date]]&gt;TODAY(),1,)</f>
        <v>1</v>
      </c>
    </row>
    <row r="117" spans="1:27" s="103" customFormat="1" ht="14.25" customHeight="1" x14ac:dyDescent="0.25">
      <c r="A117" s="96"/>
      <c r="B117" s="96" t="s">
        <v>55</v>
      </c>
      <c r="C117" s="97" t="s">
        <v>104</v>
      </c>
      <c r="D117" s="97" t="s">
        <v>105</v>
      </c>
      <c r="E117" s="96" t="s">
        <v>205</v>
      </c>
      <c r="F117" s="99">
        <v>45887</v>
      </c>
      <c r="G117" s="99">
        <v>45891</v>
      </c>
      <c r="H117" s="99"/>
      <c r="I117" s="98"/>
      <c r="J117" s="98"/>
      <c r="K117" s="98"/>
      <c r="L117" s="98"/>
      <c r="M117" s="98">
        <v>0.33333333333333331</v>
      </c>
      <c r="N117" s="98"/>
      <c r="O117" s="96" t="s">
        <v>314</v>
      </c>
      <c r="P117" s="96"/>
      <c r="Q117" s="15">
        <v>25</v>
      </c>
      <c r="R117" s="15">
        <v>5</v>
      </c>
      <c r="S117" s="15"/>
      <c r="T117" s="100"/>
      <c r="U117" s="15"/>
      <c r="V117" s="15"/>
      <c r="W117" s="15"/>
      <c r="X117" s="96"/>
      <c r="Y117" s="69">
        <f ca="1">Table24[[#This Row],[End Date]]+2-TODAY()</f>
        <v>116</v>
      </c>
      <c r="Z117" s="15">
        <f>IF(ISBLANK(Table24[[#This Row],[Roster Received By]]),1,0)</f>
        <v>1</v>
      </c>
      <c r="AA117" s="15">
        <f ca="1">IF(Table24[[#This Row],[Start Date]]&gt;TODAY(),1,)</f>
        <v>1</v>
      </c>
    </row>
    <row r="118" spans="1:27" s="103" customFormat="1" ht="14.25" customHeight="1" x14ac:dyDescent="0.25">
      <c r="A118" s="61"/>
      <c r="B118" s="96" t="s">
        <v>55</v>
      </c>
      <c r="C118" s="97" t="s">
        <v>104</v>
      </c>
      <c r="D118" s="97" t="s">
        <v>105</v>
      </c>
      <c r="E118" s="96" t="s">
        <v>212</v>
      </c>
      <c r="F118" s="99">
        <v>45586</v>
      </c>
      <c r="G118" s="99">
        <v>45590</v>
      </c>
      <c r="H118" s="102"/>
      <c r="I118" s="102"/>
      <c r="J118" s="98">
        <v>0.33333333333333331</v>
      </c>
      <c r="K118" s="102"/>
      <c r="L118" s="102"/>
      <c r="M118" s="102"/>
      <c r="N118" s="99"/>
      <c r="O118" s="96" t="s">
        <v>314</v>
      </c>
      <c r="P118" s="96"/>
      <c r="Q118" s="15">
        <v>25</v>
      </c>
      <c r="R118" s="15">
        <v>5</v>
      </c>
      <c r="S118" s="15"/>
      <c r="T118" s="100"/>
      <c r="U118" s="15"/>
      <c r="V118" s="15"/>
      <c r="W118" s="15"/>
      <c r="X118" s="96"/>
      <c r="Y118" s="69">
        <f ca="1">Table24[[#This Row],[End Date]]+2-TODAY()</f>
        <v>-185</v>
      </c>
      <c r="Z118" s="15">
        <f>IF(ISBLANK(Table24[[#This Row],[Roster Received By]]),1,0)</f>
        <v>1</v>
      </c>
      <c r="AA118" s="15">
        <f ca="1">IF(Table24[[#This Row],[Start Date]]&gt;TODAY(),1,)</f>
        <v>0</v>
      </c>
    </row>
    <row r="119" spans="1:27" s="103" customFormat="1" ht="14.25" customHeight="1" x14ac:dyDescent="0.25">
      <c r="A119" s="61"/>
      <c r="B119" s="96" t="s">
        <v>55</v>
      </c>
      <c r="C119" s="97" t="s">
        <v>104</v>
      </c>
      <c r="D119" s="97" t="s">
        <v>105</v>
      </c>
      <c r="E119" s="96" t="s">
        <v>212</v>
      </c>
      <c r="F119" s="99">
        <v>45593</v>
      </c>
      <c r="G119" s="99">
        <v>45597</v>
      </c>
      <c r="H119" s="98"/>
      <c r="I119" s="98"/>
      <c r="J119" s="98">
        <v>0.33333333333333331</v>
      </c>
      <c r="K119" s="99"/>
      <c r="L119" s="99"/>
      <c r="M119" s="99"/>
      <c r="N119" s="99"/>
      <c r="O119" s="96" t="s">
        <v>314</v>
      </c>
      <c r="P119" s="96"/>
      <c r="Q119" s="15">
        <v>25</v>
      </c>
      <c r="R119" s="15">
        <v>5</v>
      </c>
      <c r="S119" s="15"/>
      <c r="T119" s="100"/>
      <c r="U119" s="15"/>
      <c r="V119" s="15"/>
      <c r="W119" s="15"/>
      <c r="X119" s="96"/>
      <c r="Y119" s="69">
        <f ca="1">Table24[[#This Row],[End Date]]+2-TODAY()</f>
        <v>-178</v>
      </c>
      <c r="Z119" s="15">
        <f>IF(ISBLANK(Table24[[#This Row],[Roster Received By]]),1,0)</f>
        <v>1</v>
      </c>
      <c r="AA119" s="15">
        <f ca="1">IF(Table24[[#This Row],[Start Date]]&gt;TODAY(),1,)</f>
        <v>0</v>
      </c>
    </row>
    <row r="120" spans="1:27" s="103" customFormat="1" ht="14.25" customHeight="1" x14ac:dyDescent="0.25">
      <c r="A120" s="61"/>
      <c r="B120" s="96" t="s">
        <v>55</v>
      </c>
      <c r="C120" s="97" t="s">
        <v>104</v>
      </c>
      <c r="D120" s="97" t="s">
        <v>105</v>
      </c>
      <c r="E120" s="96" t="s">
        <v>212</v>
      </c>
      <c r="F120" s="66">
        <v>45642</v>
      </c>
      <c r="G120" s="99">
        <v>45646</v>
      </c>
      <c r="H120" s="99"/>
      <c r="I120" s="98"/>
      <c r="J120" s="98">
        <v>0.33333333333333331</v>
      </c>
      <c r="K120" s="98"/>
      <c r="L120" s="98"/>
      <c r="M120" s="98"/>
      <c r="N120" s="98"/>
      <c r="O120" s="96" t="s">
        <v>314</v>
      </c>
      <c r="P120" s="96"/>
      <c r="Q120" s="15">
        <v>25</v>
      </c>
      <c r="R120" s="15">
        <v>5</v>
      </c>
      <c r="S120" s="15"/>
      <c r="T120" s="100"/>
      <c r="U120" s="15"/>
      <c r="V120" s="15"/>
      <c r="W120" s="15"/>
      <c r="X120" s="96"/>
      <c r="Y120" s="69">
        <f ca="1">Table24[[#This Row],[End Date]]+2-TODAY()</f>
        <v>-129</v>
      </c>
      <c r="Z120" s="15">
        <f>IF(ISBLANK(Table24[[#This Row],[Roster Received By]]),1,0)</f>
        <v>1</v>
      </c>
      <c r="AA120" s="15">
        <f ca="1">IF(Table24[[#This Row],[Start Date]]&gt;TODAY(),1,)</f>
        <v>0</v>
      </c>
    </row>
    <row r="121" spans="1:27" s="103" customFormat="1" ht="14.25" customHeight="1" x14ac:dyDescent="0.25">
      <c r="A121" s="61"/>
      <c r="B121" s="96" t="s">
        <v>55</v>
      </c>
      <c r="C121" s="97" t="s">
        <v>104</v>
      </c>
      <c r="D121" s="97" t="s">
        <v>105</v>
      </c>
      <c r="E121" s="96" t="s">
        <v>212</v>
      </c>
      <c r="F121" s="99">
        <v>45684</v>
      </c>
      <c r="G121" s="99">
        <v>45688</v>
      </c>
      <c r="H121" s="102"/>
      <c r="I121" s="102"/>
      <c r="J121" s="98">
        <v>0.33333333333333331</v>
      </c>
      <c r="K121" s="99"/>
      <c r="L121" s="99"/>
      <c r="M121" s="99"/>
      <c r="N121" s="99"/>
      <c r="O121" s="96" t="s">
        <v>314</v>
      </c>
      <c r="P121" s="96"/>
      <c r="Q121" s="15">
        <v>25</v>
      </c>
      <c r="R121" s="15">
        <v>5</v>
      </c>
      <c r="S121" s="15"/>
      <c r="T121" s="100"/>
      <c r="U121" s="15"/>
      <c r="V121" s="15"/>
      <c r="W121" s="15"/>
      <c r="X121" s="96"/>
      <c r="Y121" s="69">
        <f ca="1">Table24[[#This Row],[End Date]]+2-TODAY()</f>
        <v>-87</v>
      </c>
      <c r="Z121" s="15">
        <f>IF(ISBLANK(Table24[[#This Row],[Roster Received By]]),1,0)</f>
        <v>1</v>
      </c>
      <c r="AA121" s="15">
        <f ca="1">IF(Table24[[#This Row],[Start Date]]&gt;TODAY(),1,)</f>
        <v>0</v>
      </c>
    </row>
    <row r="122" spans="1:27" s="103" customFormat="1" ht="14.25" customHeight="1" x14ac:dyDescent="0.25">
      <c r="A122" s="61"/>
      <c r="B122" s="96" t="s">
        <v>55</v>
      </c>
      <c r="C122" s="97" t="s">
        <v>104</v>
      </c>
      <c r="D122" s="97" t="s">
        <v>105</v>
      </c>
      <c r="E122" s="96" t="s">
        <v>212</v>
      </c>
      <c r="F122" s="99">
        <v>45691</v>
      </c>
      <c r="G122" s="99">
        <v>45695</v>
      </c>
      <c r="H122" s="102"/>
      <c r="I122" s="102"/>
      <c r="J122" s="98">
        <v>0.33333333333333331</v>
      </c>
      <c r="K122" s="102"/>
      <c r="L122" s="102"/>
      <c r="M122" s="102"/>
      <c r="N122" s="99"/>
      <c r="O122" s="96" t="s">
        <v>314</v>
      </c>
      <c r="P122" s="96"/>
      <c r="Q122" s="15">
        <v>25</v>
      </c>
      <c r="R122" s="15">
        <v>5</v>
      </c>
      <c r="S122" s="15"/>
      <c r="T122" s="100"/>
      <c r="U122" s="15"/>
      <c r="V122" s="15"/>
      <c r="W122" s="15"/>
      <c r="X122" s="96"/>
      <c r="Y122" s="69">
        <f ca="1">Table24[[#This Row],[End Date]]+2-TODAY()</f>
        <v>-80</v>
      </c>
      <c r="Z122" s="15">
        <f>IF(ISBLANK(Table24[[#This Row],[Roster Received By]]),1,0)</f>
        <v>1</v>
      </c>
      <c r="AA122" s="15">
        <f ca="1">IF(Table24[[#This Row],[Start Date]]&gt;TODAY(),1,)</f>
        <v>0</v>
      </c>
    </row>
    <row r="123" spans="1:27" s="103" customFormat="1" ht="14.25" customHeight="1" x14ac:dyDescent="0.25">
      <c r="A123" s="61"/>
      <c r="B123" s="96" t="s">
        <v>55</v>
      </c>
      <c r="C123" s="97" t="s">
        <v>104</v>
      </c>
      <c r="D123" s="97" t="s">
        <v>105</v>
      </c>
      <c r="E123" s="96" t="s">
        <v>212</v>
      </c>
      <c r="F123" s="66">
        <v>45733</v>
      </c>
      <c r="G123" s="66">
        <v>45737</v>
      </c>
      <c r="H123" s="102"/>
      <c r="I123" s="102"/>
      <c r="J123" s="98">
        <v>0.33333333333333331</v>
      </c>
      <c r="K123" s="99"/>
      <c r="L123" s="99"/>
      <c r="M123" s="99"/>
      <c r="N123" s="99"/>
      <c r="O123" s="96" t="s">
        <v>314</v>
      </c>
      <c r="P123" s="96"/>
      <c r="Q123" s="15">
        <v>25</v>
      </c>
      <c r="R123" s="15">
        <v>5</v>
      </c>
      <c r="S123" s="15"/>
      <c r="T123" s="100"/>
      <c r="U123" s="15"/>
      <c r="V123" s="15"/>
      <c r="W123" s="15"/>
      <c r="X123" s="96"/>
      <c r="Y123" s="69">
        <f ca="1">Table24[[#This Row],[End Date]]+2-TODAY()</f>
        <v>-38</v>
      </c>
      <c r="Z123" s="15">
        <f>IF(ISBLANK(Table24[[#This Row],[Roster Received By]]),1,0)</f>
        <v>1</v>
      </c>
      <c r="AA123" s="15">
        <f ca="1">IF(Table24[[#This Row],[Start Date]]&gt;TODAY(),1,)</f>
        <v>0</v>
      </c>
    </row>
    <row r="124" spans="1:27" s="103" customFormat="1" ht="14.25" customHeight="1" x14ac:dyDescent="0.25">
      <c r="A124" s="61"/>
      <c r="B124" s="96" t="s">
        <v>55</v>
      </c>
      <c r="C124" s="97" t="s">
        <v>104</v>
      </c>
      <c r="D124" s="97" t="s">
        <v>105</v>
      </c>
      <c r="E124" s="96" t="s">
        <v>212</v>
      </c>
      <c r="F124" s="99">
        <v>45740</v>
      </c>
      <c r="G124" s="99">
        <v>45744</v>
      </c>
      <c r="H124" s="99"/>
      <c r="I124" s="98"/>
      <c r="J124" s="98">
        <v>0.33333333333333331</v>
      </c>
      <c r="K124" s="98"/>
      <c r="L124" s="98"/>
      <c r="M124" s="98"/>
      <c r="N124" s="98"/>
      <c r="O124" s="96" t="s">
        <v>314</v>
      </c>
      <c r="P124" s="96"/>
      <c r="Q124" s="15">
        <v>25</v>
      </c>
      <c r="R124" s="15">
        <v>5</v>
      </c>
      <c r="S124" s="15"/>
      <c r="T124" s="100"/>
      <c r="U124" s="15"/>
      <c r="V124" s="15"/>
      <c r="W124" s="15"/>
      <c r="X124" s="96"/>
      <c r="Y124" s="69">
        <f ca="1">Table24[[#This Row],[End Date]]+2-TODAY()</f>
        <v>-31</v>
      </c>
      <c r="Z124" s="15">
        <f>IF(ISBLANK(Table24[[#This Row],[Roster Received By]]),1,0)</f>
        <v>1</v>
      </c>
      <c r="AA124" s="15">
        <f ca="1">IF(Table24[[#This Row],[Start Date]]&gt;TODAY(),1,)</f>
        <v>0</v>
      </c>
    </row>
    <row r="125" spans="1:27" s="103" customFormat="1" ht="14.25" customHeight="1" x14ac:dyDescent="0.25">
      <c r="A125" s="61"/>
      <c r="B125" s="96" t="s">
        <v>55</v>
      </c>
      <c r="C125" s="97" t="s">
        <v>104</v>
      </c>
      <c r="D125" s="97" t="s">
        <v>105</v>
      </c>
      <c r="E125" s="96" t="s">
        <v>212</v>
      </c>
      <c r="F125" s="95">
        <v>45775</v>
      </c>
      <c r="G125" s="95">
        <v>45779</v>
      </c>
      <c r="H125" s="66"/>
      <c r="I125" s="98"/>
      <c r="J125" s="98">
        <v>0.33333333333333331</v>
      </c>
      <c r="K125" s="98"/>
      <c r="L125" s="98"/>
      <c r="M125" s="98"/>
      <c r="N125" s="98"/>
      <c r="O125" s="96" t="s">
        <v>314</v>
      </c>
      <c r="P125" s="96"/>
      <c r="Q125" s="15">
        <v>25</v>
      </c>
      <c r="R125" s="15">
        <v>5</v>
      </c>
      <c r="S125" s="15"/>
      <c r="T125" s="100"/>
      <c r="U125" s="15"/>
      <c r="V125" s="15"/>
      <c r="W125" s="15"/>
      <c r="X125" s="96"/>
      <c r="Y125" s="69">
        <f ca="1">Table24[[#This Row],[End Date]]+2-TODAY()</f>
        <v>4</v>
      </c>
      <c r="Z125" s="15">
        <f>IF(ISBLANK(Table24[[#This Row],[Roster Received By]]),1,0)</f>
        <v>1</v>
      </c>
      <c r="AA125" s="15">
        <f ca="1">IF(Table24[[#This Row],[Start Date]]&gt;TODAY(),1,)</f>
        <v>0</v>
      </c>
    </row>
    <row r="126" spans="1:27" s="103" customFormat="1" ht="14.25" customHeight="1" x14ac:dyDescent="0.25">
      <c r="A126" s="96"/>
      <c r="B126" s="96" t="s">
        <v>55</v>
      </c>
      <c r="C126" s="97" t="s">
        <v>104</v>
      </c>
      <c r="D126" s="97" t="s">
        <v>105</v>
      </c>
      <c r="E126" s="96" t="s">
        <v>212</v>
      </c>
      <c r="F126" s="99">
        <v>45782</v>
      </c>
      <c r="G126" s="99">
        <v>45786</v>
      </c>
      <c r="H126" s="99"/>
      <c r="I126" s="98"/>
      <c r="J126" s="98">
        <v>0.33333333333333331</v>
      </c>
      <c r="K126" s="98"/>
      <c r="L126" s="98"/>
      <c r="M126" s="98"/>
      <c r="N126" s="98"/>
      <c r="O126" s="96" t="s">
        <v>314</v>
      </c>
      <c r="P126" s="96"/>
      <c r="Q126" s="15">
        <v>25</v>
      </c>
      <c r="R126" s="15">
        <v>5</v>
      </c>
      <c r="S126" s="15"/>
      <c r="T126" s="100"/>
      <c r="U126" s="15"/>
      <c r="V126" s="15"/>
      <c r="W126" s="15"/>
      <c r="X126" s="96"/>
      <c r="Y126" s="69">
        <f ca="1">Table24[[#This Row],[End Date]]+2-TODAY()</f>
        <v>11</v>
      </c>
      <c r="Z126" s="15">
        <f>IF(ISBLANK(Table24[[#This Row],[Roster Received By]]),1,0)</f>
        <v>1</v>
      </c>
      <c r="AA126" s="15">
        <f ca="1">IF(Table24[[#This Row],[Start Date]]&gt;TODAY(),1,)</f>
        <v>1</v>
      </c>
    </row>
    <row r="127" spans="1:27" s="103" customFormat="1" ht="14.25" customHeight="1" x14ac:dyDescent="0.25">
      <c r="A127" s="61"/>
      <c r="B127" s="96" t="s">
        <v>55</v>
      </c>
      <c r="C127" s="97" t="s">
        <v>104</v>
      </c>
      <c r="D127" s="97" t="s">
        <v>105</v>
      </c>
      <c r="E127" s="138" t="s">
        <v>170</v>
      </c>
      <c r="F127" s="66">
        <v>45873</v>
      </c>
      <c r="G127" s="99">
        <v>45877</v>
      </c>
      <c r="H127" s="102"/>
      <c r="I127" s="102"/>
      <c r="J127" s="98">
        <v>0.33333333333333331</v>
      </c>
      <c r="K127" s="99"/>
      <c r="L127" s="99"/>
      <c r="M127" s="99"/>
      <c r="N127" s="99"/>
      <c r="O127" s="96" t="s">
        <v>314</v>
      </c>
      <c r="P127" s="96"/>
      <c r="Q127" s="15">
        <v>25</v>
      </c>
      <c r="R127" s="15">
        <v>5</v>
      </c>
      <c r="S127" s="15"/>
      <c r="T127" s="100"/>
      <c r="U127" s="15"/>
      <c r="V127" s="15"/>
      <c r="W127" s="97"/>
      <c r="X127" s="96"/>
      <c r="Y127" s="69">
        <f ca="1">Table24[[#This Row],[End Date]]+2-TODAY()</f>
        <v>102</v>
      </c>
      <c r="Z127" s="15">
        <f>IF(ISBLANK(Table24[[#This Row],[Roster Received By]]),1,0)</f>
        <v>1</v>
      </c>
      <c r="AA127" s="15">
        <f ca="1">IF(Table24[[#This Row],[Start Date]]&gt;TODAY(),1,)</f>
        <v>1</v>
      </c>
    </row>
    <row r="128" spans="1:27" s="103" customFormat="1" ht="14.25" customHeight="1" x14ac:dyDescent="0.25">
      <c r="A128" s="61"/>
      <c r="B128" s="96" t="s">
        <v>55</v>
      </c>
      <c r="C128" s="97" t="s">
        <v>104</v>
      </c>
      <c r="D128" s="97" t="s">
        <v>105</v>
      </c>
      <c r="E128" s="96" t="s">
        <v>220</v>
      </c>
      <c r="F128" s="99">
        <v>45810</v>
      </c>
      <c r="G128" s="99">
        <v>45814</v>
      </c>
      <c r="H128" s="102"/>
      <c r="I128" s="102"/>
      <c r="J128" s="99"/>
      <c r="K128" s="99"/>
      <c r="L128" s="99"/>
      <c r="M128" s="99"/>
      <c r="N128" s="98">
        <v>0.33333333333333331</v>
      </c>
      <c r="O128" s="96" t="s">
        <v>314</v>
      </c>
      <c r="P128" s="96"/>
      <c r="Q128" s="15">
        <v>25</v>
      </c>
      <c r="R128" s="15">
        <v>5</v>
      </c>
      <c r="S128" s="15"/>
      <c r="T128" s="100"/>
      <c r="U128" s="15"/>
      <c r="V128" s="15"/>
      <c r="W128" s="15"/>
      <c r="X128" s="96"/>
      <c r="Y128" s="69">
        <f ca="1">Table24[[#This Row],[End Date]]+2-TODAY()</f>
        <v>39</v>
      </c>
      <c r="Z128" s="15">
        <f>IF(ISBLANK(Table24[[#This Row],[Roster Received By]]),1,0)</f>
        <v>1</v>
      </c>
      <c r="AA128" s="15">
        <f ca="1">IF(Table24[[#This Row],[Start Date]]&gt;TODAY(),1,)</f>
        <v>1</v>
      </c>
    </row>
    <row r="129" spans="1:27" s="103" customFormat="1" ht="14.25" customHeight="1" x14ac:dyDescent="0.25">
      <c r="A129" s="61"/>
      <c r="B129" s="96" t="s">
        <v>55</v>
      </c>
      <c r="C129" s="97" t="s">
        <v>104</v>
      </c>
      <c r="D129" s="97" t="s">
        <v>105</v>
      </c>
      <c r="E129" s="96" t="s">
        <v>220</v>
      </c>
      <c r="F129" s="99">
        <v>45817</v>
      </c>
      <c r="G129" s="99">
        <v>45821</v>
      </c>
      <c r="H129" s="102"/>
      <c r="I129" s="102"/>
      <c r="J129" s="99"/>
      <c r="K129" s="99"/>
      <c r="L129" s="99"/>
      <c r="M129" s="99"/>
      <c r="N129" s="98">
        <v>0.33333333333333331</v>
      </c>
      <c r="O129" s="96" t="s">
        <v>314</v>
      </c>
      <c r="P129" s="96"/>
      <c r="Q129" s="15">
        <v>25</v>
      </c>
      <c r="R129" s="15">
        <v>5</v>
      </c>
      <c r="S129" s="15"/>
      <c r="T129" s="100"/>
      <c r="U129" s="15"/>
      <c r="V129" s="15"/>
      <c r="W129" s="15"/>
      <c r="X129" s="96"/>
      <c r="Y129" s="69">
        <f ca="1">Table24[[#This Row],[End Date]]+2-TODAY()</f>
        <v>46</v>
      </c>
      <c r="Z129" s="15">
        <f>IF(ISBLANK(Table24[[#This Row],[Roster Received By]]),1,0)</f>
        <v>1</v>
      </c>
      <c r="AA129" s="15">
        <f ca="1">IF(Table24[[#This Row],[Start Date]]&gt;TODAY(),1,)</f>
        <v>1</v>
      </c>
    </row>
    <row r="130" spans="1:27" s="103" customFormat="1" ht="14.25" customHeight="1" x14ac:dyDescent="0.25">
      <c r="A130" s="61"/>
      <c r="B130" s="96" t="s">
        <v>55</v>
      </c>
      <c r="C130" s="97" t="s">
        <v>104</v>
      </c>
      <c r="D130" s="97" t="s">
        <v>105</v>
      </c>
      <c r="E130" s="96" t="s">
        <v>219</v>
      </c>
      <c r="F130" s="99">
        <v>45845</v>
      </c>
      <c r="G130" s="99">
        <v>45849</v>
      </c>
      <c r="H130" s="99"/>
      <c r="I130" s="98"/>
      <c r="J130" s="98">
        <v>0.33333333333333331</v>
      </c>
      <c r="K130" s="98"/>
      <c r="L130" s="98"/>
      <c r="M130" s="98"/>
      <c r="N130" s="98"/>
      <c r="O130" s="96" t="s">
        <v>314</v>
      </c>
      <c r="P130" s="96"/>
      <c r="Q130" s="15">
        <v>25</v>
      </c>
      <c r="R130" s="15">
        <v>5</v>
      </c>
      <c r="S130" s="15"/>
      <c r="T130" s="100"/>
      <c r="U130" s="15"/>
      <c r="V130" s="15"/>
      <c r="W130" s="15"/>
      <c r="X130" s="96"/>
      <c r="Y130" s="69">
        <f ca="1">Table24[[#This Row],[End Date]]+2-TODAY()</f>
        <v>74</v>
      </c>
      <c r="Z130" s="15">
        <f>IF(ISBLANK(Table24[[#This Row],[Roster Received By]]),1,0)</f>
        <v>1</v>
      </c>
      <c r="AA130" s="15">
        <f ca="1">IF(Table24[[#This Row],[Start Date]]&gt;TODAY(),1,)</f>
        <v>1</v>
      </c>
    </row>
    <row r="131" spans="1:27" s="103" customFormat="1" ht="14.25" customHeight="1" x14ac:dyDescent="0.25">
      <c r="A131" s="61"/>
      <c r="B131" s="96" t="s">
        <v>55</v>
      </c>
      <c r="C131" s="97" t="s">
        <v>104</v>
      </c>
      <c r="D131" s="97" t="s">
        <v>105</v>
      </c>
      <c r="E131" s="96" t="s">
        <v>185</v>
      </c>
      <c r="F131" s="99">
        <v>45684</v>
      </c>
      <c r="G131" s="99">
        <v>45688</v>
      </c>
      <c r="H131" s="99"/>
      <c r="I131" s="98">
        <v>0.33333333333333331</v>
      </c>
      <c r="J131" s="98"/>
      <c r="K131" s="98"/>
      <c r="L131" s="98"/>
      <c r="M131" s="98"/>
      <c r="N131" s="98"/>
      <c r="O131" s="96" t="s">
        <v>314</v>
      </c>
      <c r="P131" s="96"/>
      <c r="Q131" s="15">
        <v>25</v>
      </c>
      <c r="R131" s="15">
        <v>5</v>
      </c>
      <c r="S131" s="15"/>
      <c r="T131" s="100"/>
      <c r="U131" s="15"/>
      <c r="V131" s="15"/>
      <c r="W131" s="15"/>
      <c r="X131" s="96"/>
      <c r="Y131" s="69">
        <f ca="1">Table24[[#This Row],[End Date]]+2-TODAY()</f>
        <v>-87</v>
      </c>
      <c r="Z131" s="15">
        <f>IF(ISBLANK(Table24[[#This Row],[Roster Received By]]),1,0)</f>
        <v>1</v>
      </c>
      <c r="AA131" s="15">
        <f ca="1">IF(Table24[[#This Row],[Start Date]]&gt;TODAY(),1,)</f>
        <v>0</v>
      </c>
    </row>
    <row r="132" spans="1:27" s="103" customFormat="1" ht="14.25" customHeight="1" x14ac:dyDescent="0.25">
      <c r="A132" s="61"/>
      <c r="B132" s="96" t="s">
        <v>55</v>
      </c>
      <c r="C132" s="97" t="s">
        <v>104</v>
      </c>
      <c r="D132" s="97" t="s">
        <v>105</v>
      </c>
      <c r="E132" s="96" t="s">
        <v>185</v>
      </c>
      <c r="F132" s="99">
        <v>45691</v>
      </c>
      <c r="G132" s="99">
        <v>45695</v>
      </c>
      <c r="H132" s="102"/>
      <c r="I132" s="98">
        <v>0.33333333333333331</v>
      </c>
      <c r="J132" s="99"/>
      <c r="K132" s="99"/>
      <c r="L132" s="99"/>
      <c r="M132" s="99"/>
      <c r="N132" s="99"/>
      <c r="O132" s="96" t="s">
        <v>314</v>
      </c>
      <c r="P132" s="96"/>
      <c r="Q132" s="15">
        <v>25</v>
      </c>
      <c r="R132" s="15">
        <v>5</v>
      </c>
      <c r="S132" s="15"/>
      <c r="T132" s="100"/>
      <c r="U132" s="15"/>
      <c r="V132" s="15"/>
      <c r="W132" s="15"/>
      <c r="X132" s="96"/>
      <c r="Y132" s="69">
        <f ca="1">Table24[[#This Row],[End Date]]+2-TODAY()</f>
        <v>-80</v>
      </c>
      <c r="Z132" s="15">
        <f>IF(ISBLANK(Table24[[#This Row],[Roster Received By]]),1,0)</f>
        <v>1</v>
      </c>
      <c r="AA132" s="15">
        <f ca="1">IF(Table24[[#This Row],[Start Date]]&gt;TODAY(),1,)</f>
        <v>0</v>
      </c>
    </row>
    <row r="133" spans="1:27" s="103" customFormat="1" ht="14.25" customHeight="1" x14ac:dyDescent="0.25">
      <c r="A133" s="61"/>
      <c r="B133" s="96" t="s">
        <v>55</v>
      </c>
      <c r="C133" s="97" t="s">
        <v>104</v>
      </c>
      <c r="D133" s="97" t="s">
        <v>105</v>
      </c>
      <c r="E133" s="96" t="s">
        <v>219</v>
      </c>
      <c r="F133" s="66">
        <v>45852</v>
      </c>
      <c r="G133" s="66">
        <v>45856</v>
      </c>
      <c r="H133" s="99"/>
      <c r="I133" s="98"/>
      <c r="J133" s="98">
        <v>0.33333333333333331</v>
      </c>
      <c r="K133" s="98"/>
      <c r="L133" s="98"/>
      <c r="M133" s="98"/>
      <c r="N133" s="98"/>
      <c r="O133" s="96" t="s">
        <v>314</v>
      </c>
      <c r="P133" s="96"/>
      <c r="Q133" s="15">
        <v>25</v>
      </c>
      <c r="R133" s="15">
        <v>5</v>
      </c>
      <c r="S133" s="15"/>
      <c r="T133" s="100"/>
      <c r="U133" s="15"/>
      <c r="V133" s="15"/>
      <c r="W133" s="15"/>
      <c r="X133" s="96"/>
      <c r="Y133" s="69">
        <f ca="1">Table24[[#This Row],[End Date]]+2-TODAY()</f>
        <v>81</v>
      </c>
      <c r="Z133" s="15">
        <f>IF(ISBLANK(Table24[[#This Row],[Roster Received By]]),1,0)</f>
        <v>1</v>
      </c>
      <c r="AA133" s="15">
        <f ca="1">IF(Table24[[#This Row],[Start Date]]&gt;TODAY(),1,)</f>
        <v>1</v>
      </c>
    </row>
    <row r="134" spans="1:27" s="103" customFormat="1" ht="14.25" customHeight="1" x14ac:dyDescent="0.25">
      <c r="A134" s="96"/>
      <c r="B134" s="96" t="s">
        <v>55</v>
      </c>
      <c r="C134" s="97" t="s">
        <v>104</v>
      </c>
      <c r="D134" s="97" t="s">
        <v>105</v>
      </c>
      <c r="E134" s="96" t="s">
        <v>170</v>
      </c>
      <c r="F134" s="99">
        <v>45866</v>
      </c>
      <c r="G134" s="99">
        <v>45870</v>
      </c>
      <c r="H134" s="102"/>
      <c r="I134" s="102"/>
      <c r="J134" s="99"/>
      <c r="K134" s="99"/>
      <c r="L134" s="99"/>
      <c r="M134" s="99"/>
      <c r="N134" s="99"/>
      <c r="O134" s="96" t="s">
        <v>314</v>
      </c>
      <c r="P134" s="96"/>
      <c r="Q134" s="15">
        <v>25</v>
      </c>
      <c r="R134" s="15">
        <v>5</v>
      </c>
      <c r="S134" s="15"/>
      <c r="T134" s="100"/>
      <c r="U134" s="15"/>
      <c r="V134" s="15"/>
      <c r="W134" s="15"/>
      <c r="X134" s="96"/>
      <c r="Y134" s="69">
        <f ca="1">Table24[[#This Row],[End Date]]+2-TODAY()</f>
        <v>95</v>
      </c>
      <c r="Z134" s="15">
        <f>IF(ISBLANK(Table24[[#This Row],[Roster Received By]]),1,0)</f>
        <v>1</v>
      </c>
      <c r="AA134" s="15">
        <f ca="1">IF(Table24[[#This Row],[Start Date]]&gt;TODAY(),1,)</f>
        <v>1</v>
      </c>
    </row>
    <row r="135" spans="1:27" s="132" customFormat="1" x14ac:dyDescent="0.25">
      <c r="A135" s="61"/>
      <c r="B135" s="96" t="s">
        <v>55</v>
      </c>
      <c r="C135" s="97" t="s">
        <v>104</v>
      </c>
      <c r="D135" s="97" t="s">
        <v>105</v>
      </c>
      <c r="E135" s="96" t="s">
        <v>197</v>
      </c>
      <c r="F135" s="99">
        <v>45866</v>
      </c>
      <c r="G135" s="99">
        <v>45870</v>
      </c>
      <c r="H135" s="102"/>
      <c r="I135" s="98">
        <v>0.33333333333333331</v>
      </c>
      <c r="J135" s="99"/>
      <c r="K135" s="99"/>
      <c r="L135" s="99"/>
      <c r="M135" s="99"/>
      <c r="N135" s="99"/>
      <c r="O135" s="96" t="s">
        <v>314</v>
      </c>
      <c r="P135" s="96"/>
      <c r="Q135" s="15">
        <v>25</v>
      </c>
      <c r="R135" s="15">
        <v>5</v>
      </c>
      <c r="S135" s="15"/>
      <c r="T135" s="100"/>
      <c r="U135" s="15"/>
      <c r="V135" s="15"/>
      <c r="W135" s="15"/>
      <c r="X135" s="96"/>
      <c r="Y135" s="69">
        <f ca="1">Table24[[#This Row],[End Date]]+2-TODAY()</f>
        <v>95</v>
      </c>
      <c r="Z135" s="15">
        <f>IF(ISBLANK(Table24[[#This Row],[Roster Received By]]),1,0)</f>
        <v>1</v>
      </c>
      <c r="AA135" s="15">
        <f ca="1">IF(Table24[[#This Row],[Start Date]]&gt;TODAY(),1,)</f>
        <v>1</v>
      </c>
    </row>
    <row r="136" spans="1:27" s="103" customFormat="1" ht="14.25" customHeight="1" x14ac:dyDescent="0.25">
      <c r="A136" s="61"/>
      <c r="B136" s="96" t="s">
        <v>58</v>
      </c>
      <c r="C136" s="97" t="s">
        <v>308</v>
      </c>
      <c r="D136" s="97" t="s">
        <v>117</v>
      </c>
      <c r="E136" s="96" t="s">
        <v>197</v>
      </c>
      <c r="F136" s="99">
        <v>45615</v>
      </c>
      <c r="G136" s="99">
        <v>45618</v>
      </c>
      <c r="H136" s="102"/>
      <c r="I136" s="162">
        <v>0.33333333333333331</v>
      </c>
      <c r="J136" s="99"/>
      <c r="K136" s="99"/>
      <c r="L136" s="99"/>
      <c r="M136" s="99"/>
      <c r="N136" s="99"/>
      <c r="O136" s="96"/>
      <c r="P136" s="96"/>
      <c r="Q136" s="15">
        <v>30</v>
      </c>
      <c r="R136" s="15">
        <v>4</v>
      </c>
      <c r="S136" s="15"/>
      <c r="T136" s="100"/>
      <c r="U136" s="15"/>
      <c r="V136" s="15"/>
      <c r="W136" s="104"/>
      <c r="X136" s="96"/>
      <c r="Y136" s="69">
        <f ca="1">Table24[[#This Row],[End Date]]+2-TODAY()</f>
        <v>-157</v>
      </c>
      <c r="Z136" s="15">
        <f>IF(ISBLANK(Table24[[#This Row],[Roster Received By]]),1,0)</f>
        <v>1</v>
      </c>
      <c r="AA136" s="15">
        <f ca="1">IF(Table24[[#This Row],[Start Date]]&gt;TODAY(),1,)</f>
        <v>0</v>
      </c>
    </row>
    <row r="137" spans="1:27" s="103" customFormat="1" ht="14.25" customHeight="1" x14ac:dyDescent="0.25">
      <c r="A137" s="61"/>
      <c r="B137" s="96" t="s">
        <v>58</v>
      </c>
      <c r="C137" s="97" t="s">
        <v>308</v>
      </c>
      <c r="D137" s="97" t="s">
        <v>117</v>
      </c>
      <c r="E137" s="96" t="s">
        <v>170</v>
      </c>
      <c r="F137" s="99">
        <v>45636</v>
      </c>
      <c r="G137" s="99">
        <v>45639</v>
      </c>
      <c r="H137" s="99"/>
      <c r="I137" s="98"/>
      <c r="J137" s="162">
        <v>0.33333333333333331</v>
      </c>
      <c r="K137" s="98"/>
      <c r="L137" s="98"/>
      <c r="M137" s="98"/>
      <c r="N137" s="98"/>
      <c r="O137" s="96"/>
      <c r="P137" s="96"/>
      <c r="Q137" s="15">
        <v>30</v>
      </c>
      <c r="R137" s="15">
        <v>4</v>
      </c>
      <c r="S137" s="15"/>
      <c r="T137" s="100"/>
      <c r="U137" s="15"/>
      <c r="V137" s="15"/>
      <c r="W137" s="15"/>
      <c r="X137" s="96"/>
      <c r="Y137" s="69">
        <f ca="1">Table24[[#This Row],[End Date]]+2-TODAY()</f>
        <v>-136</v>
      </c>
      <c r="Z137" s="15">
        <f>IF(ISBLANK(Table24[[#This Row],[Roster Received By]]),1,0)</f>
        <v>1</v>
      </c>
      <c r="AA137" s="15">
        <f ca="1">IF(Table24[[#This Row],[Start Date]]&gt;TODAY(),1,)</f>
        <v>0</v>
      </c>
    </row>
    <row r="138" spans="1:27" s="103" customFormat="1" ht="14.25" customHeight="1" x14ac:dyDescent="0.25">
      <c r="A138" s="61"/>
      <c r="B138" s="96" t="s">
        <v>58</v>
      </c>
      <c r="C138" s="97" t="s">
        <v>308</v>
      </c>
      <c r="D138" s="97" t="s">
        <v>117</v>
      </c>
      <c r="E138" s="96" t="s">
        <v>185</v>
      </c>
      <c r="F138" s="99">
        <v>45685</v>
      </c>
      <c r="G138" s="99">
        <v>45688</v>
      </c>
      <c r="H138" s="99"/>
      <c r="I138" s="162">
        <v>0.33333333333333331</v>
      </c>
      <c r="J138" s="98"/>
      <c r="K138" s="98"/>
      <c r="L138" s="98"/>
      <c r="M138" s="98"/>
      <c r="N138" s="98"/>
      <c r="O138" s="96"/>
      <c r="P138" s="96"/>
      <c r="Q138" s="15">
        <v>30</v>
      </c>
      <c r="R138" s="15">
        <v>4</v>
      </c>
      <c r="S138" s="15"/>
      <c r="T138" s="100"/>
      <c r="U138" s="15"/>
      <c r="V138" s="15"/>
      <c r="W138" s="15"/>
      <c r="X138" s="96"/>
      <c r="Y138" s="69">
        <f ca="1">Table24[[#This Row],[End Date]]+2-TODAY()</f>
        <v>-87</v>
      </c>
      <c r="Z138" s="15">
        <f>IF(ISBLANK(Table24[[#This Row],[Roster Received By]]),1,0)</f>
        <v>1</v>
      </c>
      <c r="AA138" s="15">
        <f ca="1">IF(Table24[[#This Row],[Start Date]]&gt;TODAY(),1,)</f>
        <v>0</v>
      </c>
    </row>
    <row r="139" spans="1:27" s="103" customFormat="1" ht="14.25" customHeight="1" x14ac:dyDescent="0.25">
      <c r="A139" s="61"/>
      <c r="B139" s="96" t="s">
        <v>58</v>
      </c>
      <c r="C139" s="97" t="s">
        <v>308</v>
      </c>
      <c r="D139" s="97" t="s">
        <v>117</v>
      </c>
      <c r="E139" s="96" t="s">
        <v>212</v>
      </c>
      <c r="F139" s="99">
        <v>45713</v>
      </c>
      <c r="G139" s="99">
        <v>45716</v>
      </c>
      <c r="H139" s="99"/>
      <c r="I139" s="98"/>
      <c r="J139" s="162">
        <v>0.33333333333333331</v>
      </c>
      <c r="K139" s="98"/>
      <c r="L139" s="98"/>
      <c r="M139" s="98"/>
      <c r="N139" s="98"/>
      <c r="O139" s="96"/>
      <c r="P139" s="96"/>
      <c r="Q139" s="15">
        <v>30</v>
      </c>
      <c r="R139" s="15">
        <v>4</v>
      </c>
      <c r="S139" s="15"/>
      <c r="T139" s="100"/>
      <c r="U139" s="15"/>
      <c r="V139" s="15"/>
      <c r="W139" s="97"/>
      <c r="X139" s="96"/>
      <c r="Y139" s="69">
        <f ca="1">Table24[[#This Row],[End Date]]+2-TODAY()</f>
        <v>-59</v>
      </c>
      <c r="Z139" s="15">
        <f>IF(ISBLANK(Table24[[#This Row],[Roster Received By]]),1,0)</f>
        <v>1</v>
      </c>
      <c r="AA139" s="15">
        <f ca="1">IF(Table24[[#This Row],[Start Date]]&gt;TODAY(),1,)</f>
        <v>0</v>
      </c>
    </row>
    <row r="140" spans="1:27" s="103" customFormat="1" ht="14.25" customHeight="1" x14ac:dyDescent="0.25">
      <c r="A140" s="96"/>
      <c r="B140" s="96" t="s">
        <v>58</v>
      </c>
      <c r="C140" s="97" t="s">
        <v>308</v>
      </c>
      <c r="D140" s="97" t="s">
        <v>117</v>
      </c>
      <c r="E140" s="96" t="s">
        <v>219</v>
      </c>
      <c r="F140" s="99">
        <v>45719</v>
      </c>
      <c r="G140" s="99">
        <v>45722</v>
      </c>
      <c r="H140" s="105"/>
      <c r="I140" s="105"/>
      <c r="J140" s="162">
        <v>0.33333333333333331</v>
      </c>
      <c r="K140" s="99"/>
      <c r="L140" s="99"/>
      <c r="M140" s="99"/>
      <c r="N140" s="99"/>
      <c r="O140" s="96"/>
      <c r="P140" s="96"/>
      <c r="Q140" s="15">
        <v>30</v>
      </c>
      <c r="R140" s="15">
        <v>4</v>
      </c>
      <c r="S140" s="15"/>
      <c r="T140" s="100"/>
      <c r="U140" s="15"/>
      <c r="V140" s="15"/>
      <c r="W140" s="97"/>
      <c r="X140" s="96"/>
      <c r="Y140" s="69">
        <f ca="1">Table24[[#This Row],[End Date]]+2-TODAY()</f>
        <v>-53</v>
      </c>
      <c r="Z140" s="15">
        <f>IF(ISBLANK(Table24[[#This Row],[Roster Received By]]),1,0)</f>
        <v>1</v>
      </c>
      <c r="AA140" s="15">
        <f ca="1">IF(Table24[[#This Row],[Start Date]]&gt;TODAY(),1,)</f>
        <v>0</v>
      </c>
    </row>
    <row r="141" spans="1:27" s="103" customFormat="1" ht="14.25" customHeight="1" x14ac:dyDescent="0.25">
      <c r="A141" s="61"/>
      <c r="B141" s="96" t="s">
        <v>58</v>
      </c>
      <c r="C141" s="97" t="s">
        <v>308</v>
      </c>
      <c r="D141" s="97" t="s">
        <v>117</v>
      </c>
      <c r="E141" s="96" t="s">
        <v>182</v>
      </c>
      <c r="F141" s="99">
        <v>45741</v>
      </c>
      <c r="G141" s="99">
        <v>45744</v>
      </c>
      <c r="H141" s="99"/>
      <c r="I141" s="162">
        <v>0.33333333333333331</v>
      </c>
      <c r="J141" s="98"/>
      <c r="K141" s="98"/>
      <c r="L141" s="98"/>
      <c r="M141" s="98"/>
      <c r="N141" s="98"/>
      <c r="O141" s="96"/>
      <c r="P141" s="96"/>
      <c r="Q141" s="15">
        <v>30</v>
      </c>
      <c r="R141" s="15">
        <v>4</v>
      </c>
      <c r="S141" s="15"/>
      <c r="T141" s="100"/>
      <c r="U141" s="15"/>
      <c r="V141" s="15"/>
      <c r="W141" s="15"/>
      <c r="X141" s="96"/>
      <c r="Y141" s="69">
        <f ca="1">Table24[[#This Row],[End Date]]+2-TODAY()</f>
        <v>-31</v>
      </c>
      <c r="Z141" s="15">
        <f>IF(ISBLANK(Table24[[#This Row],[Roster Received By]]),1,0)</f>
        <v>1</v>
      </c>
      <c r="AA141" s="15">
        <f ca="1">IF(Table24[[#This Row],[Start Date]]&gt;TODAY(),1,)</f>
        <v>0</v>
      </c>
    </row>
    <row r="142" spans="1:27" s="61" customFormat="1" x14ac:dyDescent="0.25">
      <c r="B142" s="96" t="s">
        <v>58</v>
      </c>
      <c r="C142" s="97" t="s">
        <v>308</v>
      </c>
      <c r="D142" s="97" t="s">
        <v>117</v>
      </c>
      <c r="E142" s="96" t="s">
        <v>197</v>
      </c>
      <c r="F142" s="99">
        <v>45769</v>
      </c>
      <c r="G142" s="99">
        <v>45772</v>
      </c>
      <c r="H142" s="99"/>
      <c r="I142" s="162">
        <v>0.33333333333333331</v>
      </c>
      <c r="J142" s="98"/>
      <c r="K142" s="98"/>
      <c r="L142" s="98"/>
      <c r="M142" s="98"/>
      <c r="N142" s="98"/>
      <c r="O142" s="96"/>
      <c r="P142" s="96"/>
      <c r="Q142" s="15">
        <v>30</v>
      </c>
      <c r="R142" s="15">
        <v>4</v>
      </c>
      <c r="S142" s="15"/>
      <c r="T142" s="100"/>
      <c r="U142" s="15"/>
      <c r="V142" s="15"/>
      <c r="W142" s="100"/>
      <c r="X142" s="96"/>
      <c r="Y142" s="69">
        <f ca="1">Table24[[#This Row],[End Date]]+2-TODAY()</f>
        <v>-3</v>
      </c>
      <c r="Z142" s="15">
        <f>IF(ISBLANK(Table24[[#This Row],[Roster Received By]]),1,0)</f>
        <v>1</v>
      </c>
      <c r="AA142" s="15">
        <f ca="1">IF(Table24[[#This Row],[Start Date]]&gt;TODAY(),1,)</f>
        <v>0</v>
      </c>
    </row>
    <row r="143" spans="1:27" s="132" customFormat="1" ht="14.25" customHeight="1" x14ac:dyDescent="0.25">
      <c r="A143" s="61"/>
      <c r="B143" s="96" t="s">
        <v>58</v>
      </c>
      <c r="C143" s="97" t="s">
        <v>308</v>
      </c>
      <c r="D143" s="97" t="s">
        <v>117</v>
      </c>
      <c r="E143" s="96" t="s">
        <v>220</v>
      </c>
      <c r="F143" s="99">
        <v>45789</v>
      </c>
      <c r="G143" s="99">
        <v>45792</v>
      </c>
      <c r="H143" s="99"/>
      <c r="I143" s="98"/>
      <c r="J143" s="98"/>
      <c r="K143" s="98"/>
      <c r="L143" s="98"/>
      <c r="M143" s="98"/>
      <c r="N143" s="98">
        <v>0.33333333333333331</v>
      </c>
      <c r="O143" s="96"/>
      <c r="P143" s="96"/>
      <c r="Q143" s="15">
        <v>30</v>
      </c>
      <c r="R143" s="15">
        <v>4</v>
      </c>
      <c r="S143" s="15"/>
      <c r="T143" s="100"/>
      <c r="U143" s="15"/>
      <c r="V143" s="15"/>
      <c r="W143" s="15"/>
      <c r="X143" s="96"/>
      <c r="Y143" s="69">
        <f ca="1">Table24[[#This Row],[End Date]]+2-TODAY()</f>
        <v>17</v>
      </c>
      <c r="Z143" s="15">
        <f>IF(ISBLANK(Table24[[#This Row],[Roster Received By]]),1,0)</f>
        <v>1</v>
      </c>
      <c r="AA143" s="15">
        <f ca="1">IF(Table24[[#This Row],[Start Date]]&gt;TODAY(),1,)</f>
        <v>1</v>
      </c>
    </row>
    <row r="144" spans="1:27" s="132" customFormat="1" ht="14.25" customHeight="1" x14ac:dyDescent="0.25">
      <c r="A144" s="61"/>
      <c r="B144" s="96" t="s">
        <v>58</v>
      </c>
      <c r="C144" s="97" t="s">
        <v>308</v>
      </c>
      <c r="D144" s="97" t="s">
        <v>117</v>
      </c>
      <c r="E144" s="96" t="s">
        <v>220</v>
      </c>
      <c r="F144" s="99">
        <v>45796</v>
      </c>
      <c r="G144" s="99">
        <v>45799</v>
      </c>
      <c r="H144" s="102"/>
      <c r="I144" s="102"/>
      <c r="J144" s="99"/>
      <c r="K144" s="99"/>
      <c r="L144" s="99"/>
      <c r="M144" s="99"/>
      <c r="N144" s="162">
        <v>0.33333333333333331</v>
      </c>
      <c r="O144" s="96"/>
      <c r="P144" s="96"/>
      <c r="Q144" s="15">
        <v>30</v>
      </c>
      <c r="R144" s="15">
        <v>4</v>
      </c>
      <c r="S144" s="15"/>
      <c r="T144" s="100"/>
      <c r="U144" s="15"/>
      <c r="V144" s="15"/>
      <c r="W144" s="97"/>
      <c r="X144" s="96"/>
      <c r="Y144" s="69">
        <f ca="1">Table24[[#This Row],[End Date]]+2-TODAY()</f>
        <v>24</v>
      </c>
      <c r="Z144" s="15">
        <f>IF(ISBLANK(Table24[[#This Row],[Roster Received By]]),1,0)</f>
        <v>1</v>
      </c>
      <c r="AA144" s="15">
        <f ca="1">IF(Table24[[#This Row],[Start Date]]&gt;TODAY(),1,)</f>
        <v>1</v>
      </c>
    </row>
    <row r="145" spans="1:27" s="132" customFormat="1" ht="16.5" customHeight="1" x14ac:dyDescent="0.25">
      <c r="A145" s="61"/>
      <c r="B145" s="96" t="s">
        <v>58</v>
      </c>
      <c r="C145" s="97" t="s">
        <v>308</v>
      </c>
      <c r="D145" s="97" t="s">
        <v>117</v>
      </c>
      <c r="E145" s="96" t="s">
        <v>192</v>
      </c>
      <c r="F145" s="99">
        <v>45818</v>
      </c>
      <c r="G145" s="99">
        <v>45821</v>
      </c>
      <c r="H145" s="99"/>
      <c r="I145" s="98">
        <v>0.33333333333333331</v>
      </c>
      <c r="J145" s="98"/>
      <c r="K145" s="98"/>
      <c r="L145" s="98"/>
      <c r="M145" s="98"/>
      <c r="N145" s="98"/>
      <c r="O145" s="96"/>
      <c r="P145" s="96"/>
      <c r="Q145" s="15">
        <v>30</v>
      </c>
      <c r="R145" s="15">
        <v>4</v>
      </c>
      <c r="S145" s="15"/>
      <c r="T145" s="100"/>
      <c r="U145" s="15"/>
      <c r="V145" s="15"/>
      <c r="W145" s="15"/>
      <c r="X145" s="96"/>
      <c r="Y145" s="69">
        <f ca="1">Table24[[#This Row],[End Date]]+2-TODAY()</f>
        <v>46</v>
      </c>
      <c r="Z145" s="15">
        <f>IF(ISBLANK(Table24[[#This Row],[Roster Received By]]),1,0)</f>
        <v>1</v>
      </c>
      <c r="AA145" s="15">
        <f ca="1">IF(Table24[[#This Row],[Start Date]]&gt;TODAY(),1,)</f>
        <v>1</v>
      </c>
    </row>
    <row r="146" spans="1:27" s="103" customFormat="1" ht="16.5" customHeight="1" x14ac:dyDescent="0.25">
      <c r="A146" s="61"/>
      <c r="B146" s="96" t="s">
        <v>58</v>
      </c>
      <c r="C146" s="97" t="s">
        <v>308</v>
      </c>
      <c r="D146" s="97" t="s">
        <v>117</v>
      </c>
      <c r="E146" s="96" t="s">
        <v>197</v>
      </c>
      <c r="F146" s="66">
        <v>45846</v>
      </c>
      <c r="G146" s="99">
        <v>45849</v>
      </c>
      <c r="H146" s="99"/>
      <c r="I146" s="98">
        <v>0.33333333333333331</v>
      </c>
      <c r="J146" s="98"/>
      <c r="K146" s="98"/>
      <c r="L146" s="98"/>
      <c r="M146" s="98"/>
      <c r="N146" s="98"/>
      <c r="O146" s="96"/>
      <c r="P146" s="96"/>
      <c r="Q146" s="15">
        <v>30</v>
      </c>
      <c r="R146" s="15">
        <v>4</v>
      </c>
      <c r="S146" s="15"/>
      <c r="T146" s="100"/>
      <c r="U146" s="15"/>
      <c r="V146" s="15"/>
      <c r="W146" s="15"/>
      <c r="X146" s="96"/>
      <c r="Y146" s="69">
        <f ca="1">Table24[[#This Row],[End Date]]+2-TODAY()</f>
        <v>74</v>
      </c>
      <c r="Z146" s="15">
        <f>IF(ISBLANK(Table24[[#This Row],[Roster Received By]]),1,0)</f>
        <v>1</v>
      </c>
      <c r="AA146" s="15">
        <f ca="1">IF(Table24[[#This Row],[Start Date]]&gt;TODAY(),1,)</f>
        <v>1</v>
      </c>
    </row>
    <row r="147" spans="1:27" s="103" customFormat="1" ht="16.5" customHeight="1" x14ac:dyDescent="0.25">
      <c r="A147" s="96"/>
      <c r="B147" s="96" t="s">
        <v>58</v>
      </c>
      <c r="C147" s="97" t="s">
        <v>308</v>
      </c>
      <c r="D147" s="97" t="s">
        <v>117</v>
      </c>
      <c r="E147" s="64" t="s">
        <v>212</v>
      </c>
      <c r="F147" s="99">
        <v>45881</v>
      </c>
      <c r="G147" s="99">
        <v>45884</v>
      </c>
      <c r="H147" s="102"/>
      <c r="I147" s="102"/>
      <c r="J147" s="162">
        <v>0.33333333333333331</v>
      </c>
      <c r="K147" s="99"/>
      <c r="L147" s="99"/>
      <c r="M147" s="99"/>
      <c r="N147" s="99"/>
      <c r="O147" s="96"/>
      <c r="P147" s="96"/>
      <c r="Q147" s="15">
        <v>30</v>
      </c>
      <c r="R147" s="15">
        <v>4</v>
      </c>
      <c r="S147" s="15"/>
      <c r="T147" s="100"/>
      <c r="U147" s="15"/>
      <c r="V147" s="15"/>
      <c r="W147" s="15"/>
      <c r="X147" s="96"/>
      <c r="Y147" s="69">
        <f ca="1">Table24[[#This Row],[End Date]]+2-TODAY()</f>
        <v>109</v>
      </c>
      <c r="Z147" s="15">
        <f>IF(ISBLANK(Table24[[#This Row],[Roster Received By]]),1,0)</f>
        <v>1</v>
      </c>
      <c r="AA147" s="15">
        <f ca="1">IF(Table24[[#This Row],[Start Date]]&gt;TODAY(),1,)</f>
        <v>1</v>
      </c>
    </row>
    <row r="148" spans="1:27" s="103" customFormat="1" ht="14.25" customHeight="1" x14ac:dyDescent="0.25">
      <c r="A148" s="61"/>
      <c r="B148" s="96" t="s">
        <v>58</v>
      </c>
      <c r="C148" s="97" t="s">
        <v>308</v>
      </c>
      <c r="D148" s="97" t="s">
        <v>117</v>
      </c>
      <c r="E148" s="96" t="s">
        <v>205</v>
      </c>
      <c r="F148" s="99">
        <v>45895</v>
      </c>
      <c r="G148" s="99">
        <v>45898</v>
      </c>
      <c r="H148" s="99"/>
      <c r="I148" s="98"/>
      <c r="J148" s="98"/>
      <c r="K148" s="98"/>
      <c r="L148" s="98"/>
      <c r="M148" s="98">
        <v>0.33333333333333331</v>
      </c>
      <c r="N148" s="98"/>
      <c r="O148" s="96"/>
      <c r="P148" s="96"/>
      <c r="Q148" s="15">
        <v>30</v>
      </c>
      <c r="R148" s="15">
        <v>4</v>
      </c>
      <c r="S148" s="15"/>
      <c r="T148" s="100"/>
      <c r="U148" s="15"/>
      <c r="V148" s="15"/>
      <c r="W148" s="15"/>
      <c r="X148" s="96"/>
      <c r="Y148" s="69">
        <f ca="1">Table24[[#This Row],[End Date]]+2-TODAY()</f>
        <v>123</v>
      </c>
      <c r="Z148" s="15">
        <f>IF(ISBLANK(Table24[[#This Row],[Roster Received By]]),1,0)</f>
        <v>1</v>
      </c>
      <c r="AA148" s="15">
        <f ca="1">IF(Table24[[#This Row],[Start Date]]&gt;TODAY(),1,)</f>
        <v>1</v>
      </c>
    </row>
    <row r="149" spans="1:27" s="103" customFormat="1" ht="14.25" customHeight="1" x14ac:dyDescent="0.25">
      <c r="A149" s="61"/>
      <c r="B149" s="96" t="s">
        <v>58</v>
      </c>
      <c r="C149" s="97" t="s">
        <v>308</v>
      </c>
      <c r="D149" s="97" t="s">
        <v>117</v>
      </c>
      <c r="E149" s="96" t="s">
        <v>197</v>
      </c>
      <c r="F149" s="99">
        <v>45916</v>
      </c>
      <c r="G149" s="99">
        <v>45919</v>
      </c>
      <c r="H149" s="99"/>
      <c r="I149" s="162">
        <v>0.33333333333333331</v>
      </c>
      <c r="J149" s="98"/>
      <c r="K149" s="98"/>
      <c r="L149" s="98"/>
      <c r="M149" s="98"/>
      <c r="N149" s="98"/>
      <c r="O149" s="96"/>
      <c r="P149" s="96"/>
      <c r="Q149" s="15">
        <v>30</v>
      </c>
      <c r="R149" s="15">
        <v>4</v>
      </c>
      <c r="S149" s="15"/>
      <c r="T149" s="100"/>
      <c r="U149" s="15"/>
      <c r="V149" s="15"/>
      <c r="W149" s="15"/>
      <c r="X149" s="96"/>
      <c r="Y149" s="69">
        <f ca="1">Table24[[#This Row],[End Date]]+2-TODAY()</f>
        <v>144</v>
      </c>
      <c r="Z149" s="15">
        <f>IF(ISBLANK(Table24[[#This Row],[Roster Received By]]),1,0)</f>
        <v>1</v>
      </c>
      <c r="AA149" s="15">
        <f ca="1">IF(Table24[[#This Row],[Start Date]]&gt;TODAY(),1,)</f>
        <v>1</v>
      </c>
    </row>
    <row r="150" spans="1:27" s="103" customFormat="1" ht="14.25" customHeight="1" x14ac:dyDescent="0.25">
      <c r="A150" s="61"/>
      <c r="B150" s="96" t="s">
        <v>56</v>
      </c>
      <c r="C150" s="97" t="s">
        <v>108</v>
      </c>
      <c r="D150" s="97" t="s">
        <v>109</v>
      </c>
      <c r="E150" s="96" t="s">
        <v>212</v>
      </c>
      <c r="F150" s="99">
        <v>45712</v>
      </c>
      <c r="G150" s="99">
        <v>45715</v>
      </c>
      <c r="H150" s="99"/>
      <c r="I150" s="98"/>
      <c r="J150" s="98">
        <v>0.33333333333333331</v>
      </c>
      <c r="K150" s="98"/>
      <c r="L150" s="98"/>
      <c r="M150" s="98"/>
      <c r="N150" s="98"/>
      <c r="O150" s="96"/>
      <c r="P150" s="96"/>
      <c r="Q150" s="15">
        <v>35</v>
      </c>
      <c r="R150" s="15">
        <v>5</v>
      </c>
      <c r="S150" s="15"/>
      <c r="T150" s="100"/>
      <c r="U150" s="15"/>
      <c r="V150" s="15"/>
      <c r="W150" s="15"/>
      <c r="X150" s="96"/>
      <c r="Y150" s="69">
        <f ca="1">Table24[[#This Row],[End Date]]+2-TODAY()</f>
        <v>-60</v>
      </c>
      <c r="Z150" s="15">
        <f>IF(ISBLANK(Table24[[#This Row],[Roster Received By]]),1,0)</f>
        <v>1</v>
      </c>
      <c r="AA150" s="15">
        <f ca="1">IF(Table24[[#This Row],[Start Date]]&gt;TODAY(),1,)</f>
        <v>0</v>
      </c>
    </row>
    <row r="151" spans="1:27" s="103" customFormat="1" ht="16.5" customHeight="1" x14ac:dyDescent="0.25">
      <c r="A151" s="148" t="s">
        <v>454</v>
      </c>
      <c r="B151" s="149" t="s">
        <v>56</v>
      </c>
      <c r="C151" s="150" t="s">
        <v>108</v>
      </c>
      <c r="D151" s="150" t="s">
        <v>109</v>
      </c>
      <c r="E151" s="149" t="s">
        <v>208</v>
      </c>
      <c r="F151" s="163">
        <v>45866</v>
      </c>
      <c r="G151" s="163">
        <v>45870</v>
      </c>
      <c r="H151" s="163"/>
      <c r="I151" s="152"/>
      <c r="J151" s="152">
        <v>0.33333333333333331</v>
      </c>
      <c r="K151" s="152"/>
      <c r="L151" s="152"/>
      <c r="M151" s="152"/>
      <c r="N151" s="152"/>
      <c r="O151" s="149"/>
      <c r="P151" s="149"/>
      <c r="Q151" s="153">
        <v>35</v>
      </c>
      <c r="R151" s="153">
        <v>5</v>
      </c>
      <c r="S151" s="15"/>
      <c r="T151" s="100"/>
      <c r="U151" s="15"/>
      <c r="V151" s="15"/>
      <c r="W151" s="15"/>
      <c r="X151" s="96"/>
      <c r="Y151" s="69">
        <f ca="1">Table24[[#This Row],[End Date]]+2-TODAY()</f>
        <v>95</v>
      </c>
      <c r="Z151" s="15">
        <f>IF(ISBLANK(Table24[[#This Row],[Roster Received By]]),1,0)</f>
        <v>1</v>
      </c>
      <c r="AA151" s="15">
        <f ca="1">IF(Table24[[#This Row],[Start Date]]&gt;TODAY(),1,)</f>
        <v>1</v>
      </c>
    </row>
    <row r="152" spans="1:27" s="103" customFormat="1" ht="14.25" customHeight="1" x14ac:dyDescent="0.25">
      <c r="A152" s="149" t="s">
        <v>455</v>
      </c>
      <c r="B152" s="149" t="s">
        <v>56</v>
      </c>
      <c r="C152" s="150" t="s">
        <v>108</v>
      </c>
      <c r="D152" s="150" t="s">
        <v>109</v>
      </c>
      <c r="E152" s="149" t="s">
        <v>179</v>
      </c>
      <c r="F152" s="151">
        <v>45789</v>
      </c>
      <c r="G152" s="151">
        <v>45793</v>
      </c>
      <c r="H152" s="151"/>
      <c r="I152" s="152">
        <v>0.33333333333333331</v>
      </c>
      <c r="J152" s="152"/>
      <c r="K152" s="152"/>
      <c r="L152" s="152"/>
      <c r="M152" s="152"/>
      <c r="N152" s="152"/>
      <c r="O152" s="149"/>
      <c r="P152" s="149"/>
      <c r="Q152" s="153">
        <v>35</v>
      </c>
      <c r="R152" s="153">
        <v>5</v>
      </c>
      <c r="S152" s="15"/>
      <c r="T152" s="100"/>
      <c r="U152" s="15"/>
      <c r="V152" s="15"/>
      <c r="W152" s="15"/>
      <c r="X152" s="96"/>
      <c r="Y152" s="69">
        <f ca="1">Table24[[#This Row],[End Date]]+2-TODAY()</f>
        <v>18</v>
      </c>
      <c r="Z152" s="15">
        <f>IF(ISBLANK(Table24[[#This Row],[Roster Received By]]),1,0)</f>
        <v>1</v>
      </c>
      <c r="AA152" s="15">
        <f ca="1">IF(Table24[[#This Row],[Start Date]]&gt;TODAY(),1,)</f>
        <v>1</v>
      </c>
    </row>
    <row r="153" spans="1:27" s="103" customFormat="1" ht="14.25" customHeight="1" x14ac:dyDescent="0.25">
      <c r="A153" s="61"/>
      <c r="B153" s="96" t="s">
        <v>56</v>
      </c>
      <c r="C153" s="97" t="s">
        <v>108</v>
      </c>
      <c r="D153" s="97" t="s">
        <v>109</v>
      </c>
      <c r="E153" s="96" t="s">
        <v>197</v>
      </c>
      <c r="F153" s="66">
        <v>45733</v>
      </c>
      <c r="G153" s="66">
        <v>45737</v>
      </c>
      <c r="H153" s="102"/>
      <c r="I153" s="98">
        <v>0.33333333333333331</v>
      </c>
      <c r="J153" s="99"/>
      <c r="K153" s="99"/>
      <c r="L153" s="99"/>
      <c r="M153" s="99"/>
      <c r="N153" s="99"/>
      <c r="O153" s="96"/>
      <c r="P153" s="96"/>
      <c r="Q153" s="15">
        <v>35</v>
      </c>
      <c r="R153" s="15">
        <v>5</v>
      </c>
      <c r="S153" s="15"/>
      <c r="T153" s="100"/>
      <c r="U153" s="15"/>
      <c r="V153" s="15"/>
      <c r="W153" s="97"/>
      <c r="X153" s="96"/>
      <c r="Y153" s="106">
        <f ca="1">Table24[[#This Row],[End Date]]+2-TODAY()</f>
        <v>-38</v>
      </c>
      <c r="Z153" s="15">
        <f>IF(ISBLANK(Table24[[#This Row],[Roster Received By]]),1,0)</f>
        <v>1</v>
      </c>
      <c r="AA153" s="97">
        <f ca="1">IF(Table24[[#This Row],[Start Date]]&gt;TODAY(),1,)</f>
        <v>0</v>
      </c>
    </row>
    <row r="154" spans="1:27" s="103" customFormat="1" ht="14.25" customHeight="1" x14ac:dyDescent="0.25">
      <c r="A154" s="61"/>
      <c r="B154" s="96" t="s">
        <v>56</v>
      </c>
      <c r="C154" s="97" t="s">
        <v>108</v>
      </c>
      <c r="D154" s="97" t="s">
        <v>109</v>
      </c>
      <c r="E154" s="133" t="s">
        <v>205</v>
      </c>
      <c r="F154" s="66">
        <v>45810</v>
      </c>
      <c r="G154" s="66">
        <v>45814</v>
      </c>
      <c r="H154" s="99"/>
      <c r="I154" s="98"/>
      <c r="J154" s="98"/>
      <c r="K154" s="98"/>
      <c r="L154" s="98"/>
      <c r="M154" s="98">
        <v>0.33333333333333331</v>
      </c>
      <c r="N154" s="98"/>
      <c r="O154" s="96"/>
      <c r="P154" s="96"/>
      <c r="Q154" s="15">
        <v>35</v>
      </c>
      <c r="R154" s="15">
        <v>5</v>
      </c>
      <c r="S154" s="15"/>
      <c r="T154" s="100"/>
      <c r="U154" s="15"/>
      <c r="V154" s="15"/>
      <c r="W154" s="15"/>
      <c r="X154" s="96"/>
      <c r="Y154" s="69">
        <f ca="1">Table24[[#This Row],[End Date]]+2-TODAY()</f>
        <v>39</v>
      </c>
      <c r="Z154" s="15">
        <f>IF(ISBLANK(Table24[[#This Row],[Roster Received By]]),1,0)</f>
        <v>1</v>
      </c>
      <c r="AA154" s="15">
        <f ca="1">IF(Table24[[#This Row],[Start Date]]&gt;TODAY(),1,)</f>
        <v>1</v>
      </c>
    </row>
    <row r="155" spans="1:27" s="61" customFormat="1" x14ac:dyDescent="0.25">
      <c r="B155" s="96" t="s">
        <v>60</v>
      </c>
      <c r="C155" s="97" t="s">
        <v>140</v>
      </c>
      <c r="D155" s="97" t="s">
        <v>141</v>
      </c>
      <c r="E155" s="96"/>
      <c r="F155" s="99">
        <v>45621</v>
      </c>
      <c r="G155" s="99">
        <v>45625</v>
      </c>
      <c r="H155" s="102"/>
      <c r="I155" s="162">
        <v>0.33333333333333331</v>
      </c>
      <c r="J155" s="99"/>
      <c r="K155" s="99"/>
      <c r="L155" s="99"/>
      <c r="M155" s="99"/>
      <c r="N155" s="99"/>
      <c r="O155" s="96"/>
      <c r="P155" s="96"/>
      <c r="Q155" s="15">
        <v>30</v>
      </c>
      <c r="R155" s="15">
        <v>4</v>
      </c>
      <c r="S155" s="15"/>
      <c r="T155" s="100"/>
      <c r="U155" s="15"/>
      <c r="V155" s="15"/>
      <c r="W155" s="15"/>
      <c r="X155" s="96"/>
      <c r="Y155" s="69">
        <f ca="1">Table24[[#This Row],[End Date]]+2-TODAY()</f>
        <v>-150</v>
      </c>
      <c r="Z155" s="15">
        <f>IF(ISBLANK(Table24[[#This Row],[Roster Received By]]),1,0)</f>
        <v>1</v>
      </c>
      <c r="AA155" s="15">
        <f ca="1">IF(Table24[[#This Row],[Start Date]]&gt;TODAY(),1,)</f>
        <v>0</v>
      </c>
    </row>
    <row r="156" spans="1:27" s="61" customFormat="1" x14ac:dyDescent="0.25">
      <c r="A156" s="96"/>
      <c r="B156" s="96" t="s">
        <v>60</v>
      </c>
      <c r="C156" s="97" t="s">
        <v>140</v>
      </c>
      <c r="D156" s="97" t="s">
        <v>141</v>
      </c>
      <c r="E156" s="96"/>
      <c r="F156" s="99">
        <v>45670</v>
      </c>
      <c r="G156" s="99">
        <v>45673</v>
      </c>
      <c r="H156" s="102"/>
      <c r="I156" s="102"/>
      <c r="J156" s="162">
        <v>0.33333333333333331</v>
      </c>
      <c r="K156" s="99"/>
      <c r="L156" s="99"/>
      <c r="M156" s="99"/>
      <c r="N156" s="99"/>
      <c r="O156" s="96"/>
      <c r="P156" s="96"/>
      <c r="Q156" s="15">
        <v>30</v>
      </c>
      <c r="R156" s="15">
        <v>4</v>
      </c>
      <c r="S156" s="15"/>
      <c r="T156" s="100"/>
      <c r="U156" s="15"/>
      <c r="V156" s="15"/>
      <c r="W156" s="15"/>
      <c r="X156" s="96"/>
      <c r="Y156" s="69">
        <f ca="1">Table24[[#This Row],[End Date]]+2-TODAY()</f>
        <v>-102</v>
      </c>
      <c r="Z156" s="15">
        <f>IF(ISBLANK(Table24[[#This Row],[Roster Received By]]),1,0)</f>
        <v>1</v>
      </c>
      <c r="AA156" s="15">
        <f ca="1">IF(Table24[[#This Row],[Start Date]]&gt;TODAY(),1,)</f>
        <v>0</v>
      </c>
    </row>
    <row r="157" spans="1:27" s="61" customFormat="1" x14ac:dyDescent="0.25">
      <c r="B157" s="96" t="s">
        <v>60</v>
      </c>
      <c r="C157" s="97" t="s">
        <v>140</v>
      </c>
      <c r="D157" s="97" t="s">
        <v>141</v>
      </c>
      <c r="E157" s="96"/>
      <c r="F157" s="99">
        <v>45698</v>
      </c>
      <c r="G157" s="99">
        <v>45701</v>
      </c>
      <c r="H157" s="99"/>
      <c r="I157" s="98"/>
      <c r="J157" s="98"/>
      <c r="K157" s="98"/>
      <c r="L157" s="162">
        <v>0.33333333333333331</v>
      </c>
      <c r="M157" s="98"/>
      <c r="N157" s="98"/>
      <c r="O157" s="96"/>
      <c r="P157" s="96"/>
      <c r="Q157" s="15">
        <v>30</v>
      </c>
      <c r="R157" s="15">
        <v>4</v>
      </c>
      <c r="S157" s="15"/>
      <c r="T157" s="100"/>
      <c r="U157" s="15"/>
      <c r="V157" s="15"/>
      <c r="W157" s="15"/>
      <c r="X157" s="96"/>
      <c r="Y157" s="69">
        <f ca="1">Table24[[#This Row],[End Date]]+2-TODAY()</f>
        <v>-74</v>
      </c>
      <c r="Z157" s="15">
        <f>IF(ISBLANK(Table24[[#This Row],[Roster Received By]]),1,0)</f>
        <v>1</v>
      </c>
      <c r="AA157" s="15">
        <f ca="1">IF(Table24[[#This Row],[Start Date]]&gt;TODAY(),1,)</f>
        <v>0</v>
      </c>
    </row>
    <row r="158" spans="1:27" s="61" customFormat="1" x14ac:dyDescent="0.25">
      <c r="B158" s="96" t="s">
        <v>60</v>
      </c>
      <c r="C158" s="97" t="s">
        <v>140</v>
      </c>
      <c r="D158" s="97" t="s">
        <v>141</v>
      </c>
      <c r="E158" s="96"/>
      <c r="F158" s="99">
        <v>45733</v>
      </c>
      <c r="G158" s="99">
        <v>45736</v>
      </c>
      <c r="H158" s="99"/>
      <c r="I158" s="98"/>
      <c r="J158" s="98"/>
      <c r="K158" s="98"/>
      <c r="L158" s="98"/>
      <c r="M158" s="162">
        <v>0.33333333333333331</v>
      </c>
      <c r="N158" s="98"/>
      <c r="O158" s="96"/>
      <c r="P158" s="96"/>
      <c r="Q158" s="15">
        <v>30</v>
      </c>
      <c r="R158" s="15">
        <v>4</v>
      </c>
      <c r="S158" s="15"/>
      <c r="T158" s="100"/>
      <c r="U158" s="15"/>
      <c r="V158" s="15"/>
      <c r="W158" s="15"/>
      <c r="X158" s="96"/>
      <c r="Y158" s="69">
        <f ca="1">Table24[[#This Row],[End Date]]+2-TODAY()</f>
        <v>-39</v>
      </c>
      <c r="Z158" s="15">
        <f>IF(ISBLANK(Table24[[#This Row],[Roster Received By]]),1,0)</f>
        <v>1</v>
      </c>
      <c r="AA158" s="15">
        <f ca="1">IF(Table24[[#This Row],[Start Date]]&gt;TODAY(),1,)</f>
        <v>0</v>
      </c>
    </row>
    <row r="159" spans="1:27" s="61" customFormat="1" x14ac:dyDescent="0.25">
      <c r="A159" s="64"/>
      <c r="B159" s="96" t="s">
        <v>60</v>
      </c>
      <c r="C159" s="97" t="s">
        <v>140</v>
      </c>
      <c r="D159" s="97" t="s">
        <v>141</v>
      </c>
      <c r="E159" s="96"/>
      <c r="F159" s="99">
        <v>45754</v>
      </c>
      <c r="G159" s="99">
        <v>45757</v>
      </c>
      <c r="H159" s="102"/>
      <c r="I159" s="102"/>
      <c r="J159" s="99"/>
      <c r="K159" s="99"/>
      <c r="L159" s="99"/>
      <c r="M159" s="99"/>
      <c r="N159" s="162">
        <v>0.33333333333333331</v>
      </c>
      <c r="O159" s="96"/>
      <c r="P159" s="96"/>
      <c r="Q159" s="15">
        <v>30</v>
      </c>
      <c r="R159" s="15">
        <v>4</v>
      </c>
      <c r="S159" s="100"/>
      <c r="T159" s="100"/>
      <c r="U159" s="15"/>
      <c r="V159" s="15"/>
      <c r="W159" s="97"/>
      <c r="X159" s="96"/>
      <c r="Y159" s="106">
        <f ca="1">Table24[[#This Row],[End Date]]+2-TODAY()</f>
        <v>-18</v>
      </c>
      <c r="Z159" s="15">
        <f>IF(ISBLANK(Table24[[#This Row],[Roster Received By]]),1,0)</f>
        <v>1</v>
      </c>
      <c r="AA159" s="97">
        <f ca="1">IF(Table24[[#This Row],[Start Date]]&gt;TODAY(),1,)</f>
        <v>0</v>
      </c>
    </row>
    <row r="160" spans="1:27" s="61" customFormat="1" x14ac:dyDescent="0.25">
      <c r="A160" s="97"/>
      <c r="B160" s="96" t="s">
        <v>60</v>
      </c>
      <c r="C160" s="97" t="s">
        <v>140</v>
      </c>
      <c r="D160" s="97" t="s">
        <v>141</v>
      </c>
      <c r="E160" s="96"/>
      <c r="F160" s="99">
        <v>45796</v>
      </c>
      <c r="G160" s="99">
        <v>45799</v>
      </c>
      <c r="H160" s="105"/>
      <c r="I160" s="162">
        <v>0.33333333333333331</v>
      </c>
      <c r="J160" s="99"/>
      <c r="K160" s="99"/>
      <c r="L160" s="99"/>
      <c r="M160" s="99"/>
      <c r="N160" s="99"/>
      <c r="O160" s="96"/>
      <c r="P160" s="96"/>
      <c r="Q160" s="15">
        <v>30</v>
      </c>
      <c r="R160" s="15">
        <v>4</v>
      </c>
      <c r="S160" s="104"/>
      <c r="T160" s="100"/>
      <c r="U160" s="15"/>
      <c r="V160" s="15"/>
      <c r="W160" s="15"/>
      <c r="X160" s="96"/>
      <c r="Y160" s="69">
        <f ca="1">Table24[[#This Row],[End Date]]+2-TODAY()</f>
        <v>24</v>
      </c>
      <c r="Z160" s="15">
        <f>IF(ISBLANK(Table24[[#This Row],[Roster Received By]]),1,0)</f>
        <v>1</v>
      </c>
      <c r="AA160" s="15">
        <f ca="1">IF(Table24[[#This Row],[Start Date]]&gt;TODAY(),1,)</f>
        <v>1</v>
      </c>
    </row>
    <row r="161" spans="1:27" s="61" customFormat="1" ht="15" customHeight="1" x14ac:dyDescent="0.25">
      <c r="B161" s="96" t="s">
        <v>60</v>
      </c>
      <c r="C161" s="97" t="s">
        <v>140</v>
      </c>
      <c r="D161" s="97" t="s">
        <v>141</v>
      </c>
      <c r="E161" s="96"/>
      <c r="F161" s="99">
        <v>45810</v>
      </c>
      <c r="G161" s="99">
        <v>45813</v>
      </c>
      <c r="H161" s="105"/>
      <c r="I161" s="105"/>
      <c r="J161" s="162">
        <v>0.33333333333333331</v>
      </c>
      <c r="K161" s="99"/>
      <c r="L161" s="99"/>
      <c r="M161" s="99"/>
      <c r="N161" s="99"/>
      <c r="O161" s="96"/>
      <c r="P161" s="96"/>
      <c r="Q161" s="15">
        <v>30</v>
      </c>
      <c r="R161" s="15">
        <v>4</v>
      </c>
      <c r="S161" s="15"/>
      <c r="T161" s="100"/>
      <c r="U161" s="15"/>
      <c r="V161" s="15"/>
      <c r="W161" s="15"/>
      <c r="X161" s="96"/>
      <c r="Y161" s="69">
        <f ca="1">Table24[[#This Row],[End Date]]+2-TODAY()</f>
        <v>38</v>
      </c>
      <c r="Z161" s="15">
        <f>IF(ISBLANK(Table24[[#This Row],[Roster Received By]]),1,0)</f>
        <v>1</v>
      </c>
      <c r="AA161" s="15">
        <f ca="1">IF(Table24[[#This Row],[Start Date]]&gt;TODAY(),1,)</f>
        <v>1</v>
      </c>
    </row>
    <row r="162" spans="1:27" s="61" customFormat="1" x14ac:dyDescent="0.25">
      <c r="B162" s="96" t="s">
        <v>60</v>
      </c>
      <c r="C162" s="97" t="s">
        <v>140</v>
      </c>
      <c r="D162" s="97" t="s">
        <v>141</v>
      </c>
      <c r="E162" s="96"/>
      <c r="F162" s="99">
        <v>45859</v>
      </c>
      <c r="G162" s="99">
        <v>45862</v>
      </c>
      <c r="H162" s="102"/>
      <c r="I162" s="102"/>
      <c r="J162" s="99"/>
      <c r="K162" s="99"/>
      <c r="L162" s="99"/>
      <c r="M162" s="162">
        <v>0.33333333333333331</v>
      </c>
      <c r="N162" s="99"/>
      <c r="O162" s="96"/>
      <c r="P162" s="96"/>
      <c r="Q162" s="15">
        <v>30</v>
      </c>
      <c r="R162" s="15">
        <v>4</v>
      </c>
      <c r="S162" s="15"/>
      <c r="T162" s="100"/>
      <c r="U162" s="15"/>
      <c r="V162" s="15"/>
      <c r="W162" s="15"/>
      <c r="X162" s="96"/>
      <c r="Y162" s="69">
        <f ca="1">Table24[[#This Row],[End Date]]+2-TODAY()</f>
        <v>87</v>
      </c>
      <c r="Z162" s="15">
        <f>IF(ISBLANK(Table24[[#This Row],[Roster Received By]]),1,0)</f>
        <v>1</v>
      </c>
      <c r="AA162" s="15">
        <f ca="1">IF(Table24[[#This Row],[Start Date]]&gt;TODAY(),1,)</f>
        <v>1</v>
      </c>
    </row>
    <row r="163" spans="1:27" s="61" customFormat="1" x14ac:dyDescent="0.25">
      <c r="B163" s="96" t="s">
        <v>60</v>
      </c>
      <c r="C163" s="97" t="s">
        <v>140</v>
      </c>
      <c r="D163" s="97" t="s">
        <v>141</v>
      </c>
      <c r="E163" s="96"/>
      <c r="F163" s="99">
        <v>45887</v>
      </c>
      <c r="G163" s="99">
        <v>45890</v>
      </c>
      <c r="H163" s="102"/>
      <c r="I163" s="162">
        <v>0.33333333333333331</v>
      </c>
      <c r="J163" s="99"/>
      <c r="K163" s="99"/>
      <c r="L163" s="99"/>
      <c r="M163" s="99"/>
      <c r="N163" s="99"/>
      <c r="O163" s="96"/>
      <c r="P163" s="96"/>
      <c r="Q163" s="15">
        <v>30</v>
      </c>
      <c r="R163" s="15">
        <v>4</v>
      </c>
      <c r="S163" s="100"/>
      <c r="T163" s="100"/>
      <c r="U163" s="15"/>
      <c r="V163" s="15"/>
      <c r="W163" s="15"/>
      <c r="X163" s="96"/>
      <c r="Y163" s="69">
        <f ca="1">Table24[[#This Row],[End Date]]+2-TODAY()</f>
        <v>115</v>
      </c>
      <c r="Z163" s="15">
        <f>IF(ISBLANK(Table24[[#This Row],[Roster Received By]]),1,0)</f>
        <v>1</v>
      </c>
      <c r="AA163" s="15">
        <f ca="1">IF(Table24[[#This Row],[Start Date]]&gt;TODAY(),1,)</f>
        <v>1</v>
      </c>
    </row>
    <row r="164" spans="1:27" s="61" customFormat="1" x14ac:dyDescent="0.25">
      <c r="B164" s="96" t="s">
        <v>60</v>
      </c>
      <c r="C164" s="97" t="s">
        <v>140</v>
      </c>
      <c r="D164" s="97" t="s">
        <v>141</v>
      </c>
      <c r="E164" s="96"/>
      <c r="F164" s="99">
        <v>45915</v>
      </c>
      <c r="G164" s="99">
        <v>45918</v>
      </c>
      <c r="H164" s="102"/>
      <c r="I164" s="102"/>
      <c r="J164" s="99"/>
      <c r="K164" s="99"/>
      <c r="L164" s="162">
        <v>0.33333333333333331</v>
      </c>
      <c r="M164" s="99"/>
      <c r="N164" s="99"/>
      <c r="O164" s="96"/>
      <c r="P164" s="96"/>
      <c r="Q164" s="15">
        <v>30</v>
      </c>
      <c r="R164" s="15">
        <v>4</v>
      </c>
      <c r="S164" s="15"/>
      <c r="T164" s="100"/>
      <c r="U164" s="15"/>
      <c r="V164" s="15"/>
      <c r="W164" s="15"/>
      <c r="X164" s="96"/>
      <c r="Y164" s="69">
        <f ca="1">Table24[[#This Row],[End Date]]+2-TODAY()</f>
        <v>143</v>
      </c>
      <c r="Z164" s="15">
        <f>IF(ISBLANK(Table24[[#This Row],[Roster Received By]]),1,0)</f>
        <v>1</v>
      </c>
      <c r="AA164" s="15">
        <f ca="1">IF(Table24[[#This Row],[Start Date]]&gt;TODAY(),1,)</f>
        <v>1</v>
      </c>
    </row>
    <row r="165" spans="1:27" s="61" customFormat="1" x14ac:dyDescent="0.25">
      <c r="B165" s="96"/>
      <c r="C165" s="97"/>
      <c r="D165" s="97"/>
      <c r="E165" s="138"/>
      <c r="F165" s="99"/>
      <c r="G165" s="99"/>
      <c r="H165" s="102"/>
      <c r="I165" s="98"/>
      <c r="J165" s="98"/>
      <c r="K165" s="98"/>
      <c r="L165" s="98"/>
      <c r="M165" s="98"/>
      <c r="N165" s="98"/>
      <c r="O165" s="96"/>
      <c r="P165" s="96"/>
      <c r="Q165" s="15" t="e">
        <v>#N/A</v>
      </c>
      <c r="R165" s="15" t="e">
        <v>#N/A</v>
      </c>
      <c r="S165" s="15"/>
      <c r="T165" s="100"/>
      <c r="U165" s="15"/>
      <c r="V165" s="15"/>
      <c r="W165" s="15"/>
      <c r="X165" s="96"/>
      <c r="Y165" s="69">
        <f ca="1">Table24[[#This Row],[End Date]]+2-TODAY()</f>
        <v>-45775</v>
      </c>
      <c r="Z165" s="15">
        <f>IF(ISBLANK(Table24[[#This Row],[Roster Received By]]),1,0)</f>
        <v>1</v>
      </c>
      <c r="AA165" s="15">
        <f ca="1">IF(Table24[[#This Row],[Start Date]]&gt;TODAY(),1,)</f>
        <v>0</v>
      </c>
    </row>
    <row r="166" spans="1:27" s="61" customFormat="1" x14ac:dyDescent="0.25">
      <c r="A166" s="96"/>
      <c r="B166" s="96"/>
      <c r="C166" s="97"/>
      <c r="D166" s="97"/>
      <c r="E166" s="64"/>
      <c r="F166" s="66"/>
      <c r="G166" s="66"/>
      <c r="H166" s="102"/>
      <c r="I166" s="102"/>
      <c r="J166" s="99"/>
      <c r="K166" s="99"/>
      <c r="L166" s="99"/>
      <c r="M166" s="99"/>
      <c r="N166" s="99"/>
      <c r="O166" s="96"/>
      <c r="P166" s="96"/>
      <c r="Q166" s="15" t="e">
        <v>#N/A</v>
      </c>
      <c r="R166" s="15" t="e">
        <v>#N/A</v>
      </c>
      <c r="S166" s="15"/>
      <c r="T166" s="100"/>
      <c r="U166" s="15"/>
      <c r="V166" s="15"/>
      <c r="W166" s="15"/>
      <c r="X166" s="96"/>
      <c r="Y166" s="69">
        <f ca="1">Table24[[#This Row],[End Date]]+2-TODAY()</f>
        <v>-45775</v>
      </c>
      <c r="Z166" s="15">
        <f>IF(ISBLANK(Table24[[#This Row],[Roster Received By]]),1,0)</f>
        <v>1</v>
      </c>
      <c r="AA166" s="15">
        <f ca="1">IF(Table24[[#This Row],[Start Date]]&gt;TODAY(),1,)</f>
        <v>0</v>
      </c>
    </row>
    <row r="167" spans="1:27" s="61" customFormat="1" x14ac:dyDescent="0.25">
      <c r="B167" s="96"/>
      <c r="C167" s="97"/>
      <c r="D167" s="97"/>
      <c r="E167" s="96"/>
      <c r="F167" s="99"/>
      <c r="G167" s="99"/>
      <c r="H167" s="99"/>
      <c r="I167" s="98"/>
      <c r="J167" s="98"/>
      <c r="K167" s="98"/>
      <c r="L167" s="98"/>
      <c r="M167" s="98"/>
      <c r="N167" s="98"/>
      <c r="O167" s="96"/>
      <c r="P167" s="96"/>
      <c r="Q167" s="15" t="e">
        <v>#N/A</v>
      </c>
      <c r="R167" s="15" t="e">
        <v>#N/A</v>
      </c>
      <c r="S167" s="15"/>
      <c r="T167" s="100"/>
      <c r="U167" s="15"/>
      <c r="V167" s="15"/>
      <c r="W167" s="15"/>
      <c r="X167" s="96"/>
      <c r="Y167" s="69">
        <f ca="1">Table24[[#This Row],[End Date]]+2-TODAY()</f>
        <v>-45775</v>
      </c>
      <c r="Z167" s="15">
        <f>IF(ISBLANK(Table24[[#This Row],[Roster Received By]]),1,0)</f>
        <v>1</v>
      </c>
      <c r="AA167" s="15">
        <f ca="1">IF(Table24[[#This Row],[Start Date]]&gt;TODAY(),1,)</f>
        <v>0</v>
      </c>
    </row>
    <row r="168" spans="1:27" s="61" customFormat="1" x14ac:dyDescent="0.25">
      <c r="B168" s="96"/>
      <c r="C168" s="97"/>
      <c r="D168" s="97"/>
      <c r="E168" s="96"/>
      <c r="F168" s="99"/>
      <c r="G168" s="99"/>
      <c r="H168" s="99"/>
      <c r="I168" s="98"/>
      <c r="J168" s="98"/>
      <c r="K168" s="98"/>
      <c r="L168" s="98"/>
      <c r="M168" s="98"/>
      <c r="N168" s="98"/>
      <c r="O168" s="96"/>
      <c r="P168" s="96"/>
      <c r="Q168" s="15" t="e">
        <v>#N/A</v>
      </c>
      <c r="R168" s="15" t="e">
        <v>#N/A</v>
      </c>
      <c r="S168" s="15"/>
      <c r="T168" s="100"/>
      <c r="U168" s="15"/>
      <c r="V168" s="15"/>
      <c r="W168" s="97"/>
      <c r="X168" s="96"/>
      <c r="Y168" s="69">
        <f ca="1">Table24[[#This Row],[End Date]]+2-TODAY()</f>
        <v>-45775</v>
      </c>
      <c r="Z168" s="15">
        <f>IF(ISBLANK(Table24[[#This Row],[Roster Received By]]),1,0)</f>
        <v>1</v>
      </c>
      <c r="AA168" s="15">
        <f ca="1">IF(Table24[[#This Row],[Start Date]]&gt;TODAY(),1,)</f>
        <v>0</v>
      </c>
    </row>
    <row r="169" spans="1:27" s="61" customFormat="1" x14ac:dyDescent="0.25">
      <c r="B169" s="96"/>
      <c r="C169" s="97"/>
      <c r="D169" s="97"/>
      <c r="E169" s="96"/>
      <c r="F169" s="107"/>
      <c r="G169" s="107"/>
      <c r="H169" s="102"/>
      <c r="I169" s="98"/>
      <c r="J169" s="98"/>
      <c r="K169" s="98"/>
      <c r="L169" s="98"/>
      <c r="M169" s="98"/>
      <c r="N169" s="98"/>
      <c r="O169" s="96"/>
      <c r="P169" s="96"/>
      <c r="Q169" s="15" t="e">
        <v>#N/A</v>
      </c>
      <c r="R169" s="15" t="e">
        <v>#N/A</v>
      </c>
      <c r="S169" s="100"/>
      <c r="T169" s="100"/>
      <c r="U169" s="15"/>
      <c r="V169" s="15"/>
      <c r="W169" s="97"/>
      <c r="X169" s="96"/>
      <c r="Y169" s="69">
        <f ca="1">Table24[[#This Row],[End Date]]+2-TODAY()</f>
        <v>-45775</v>
      </c>
      <c r="Z169" s="15">
        <f>IF(ISBLANK(Table24[[#This Row],[Roster Received By]]),1,0)</f>
        <v>1</v>
      </c>
      <c r="AA169" s="15">
        <f ca="1">IF(Table24[[#This Row],[Start Date]]&gt;TODAY(),1,)</f>
        <v>0</v>
      </c>
    </row>
    <row r="170" spans="1:27" s="61" customFormat="1" x14ac:dyDescent="0.25">
      <c r="B170" s="96"/>
      <c r="C170" s="97"/>
      <c r="D170" s="97"/>
      <c r="E170" s="121"/>
      <c r="F170" s="95"/>
      <c r="G170" s="95"/>
      <c r="H170" s="98"/>
      <c r="I170" s="98"/>
      <c r="J170" s="98"/>
      <c r="K170" s="98"/>
      <c r="L170" s="98"/>
      <c r="M170" s="98"/>
      <c r="N170" s="98"/>
      <c r="O170" s="96"/>
      <c r="P170" s="96"/>
      <c r="Q170" s="15" t="e">
        <v>#N/A</v>
      </c>
      <c r="R170" s="15" t="e">
        <v>#N/A</v>
      </c>
      <c r="S170" s="15"/>
      <c r="T170" s="100"/>
      <c r="U170" s="15"/>
      <c r="V170" s="15"/>
      <c r="W170" s="15"/>
      <c r="X170" s="96"/>
      <c r="Y170" s="69">
        <f ca="1">Table24[[#This Row],[End Date]]+2-TODAY()</f>
        <v>-45775</v>
      </c>
      <c r="Z170" s="15">
        <f>IF(ISBLANK(Table24[[#This Row],[Roster Received By]]),1,0)</f>
        <v>1</v>
      </c>
      <c r="AA170" s="15">
        <f ca="1">IF(Table24[[#This Row],[Start Date]]&gt;TODAY(),1,)</f>
        <v>0</v>
      </c>
    </row>
    <row r="171" spans="1:27" s="61" customFormat="1" x14ac:dyDescent="0.25">
      <c r="B171" s="96"/>
      <c r="C171" s="97"/>
      <c r="D171" s="97"/>
      <c r="E171"/>
      <c r="F171" s="107"/>
      <c r="G171" s="107"/>
      <c r="H171" s="102"/>
      <c r="I171" s="102"/>
      <c r="J171" s="99"/>
      <c r="K171" s="99"/>
      <c r="L171" s="99"/>
      <c r="M171" s="99"/>
      <c r="N171" s="99"/>
      <c r="O171" s="96"/>
      <c r="P171" s="96"/>
      <c r="Q171" s="15" t="e">
        <v>#N/A</v>
      </c>
      <c r="R171" s="15" t="e">
        <v>#N/A</v>
      </c>
      <c r="S171" s="15"/>
      <c r="T171" s="100"/>
      <c r="U171" s="15"/>
      <c r="V171" s="15"/>
      <c r="W171" s="15"/>
      <c r="X171" s="96"/>
      <c r="Y171" s="69">
        <f ca="1">Table24[[#This Row],[End Date]]+2-TODAY()</f>
        <v>-45775</v>
      </c>
      <c r="Z171" s="15">
        <f>IF(ISBLANK(Table24[[#This Row],[Roster Received By]]),1,0)</f>
        <v>1</v>
      </c>
      <c r="AA171" s="15">
        <f ca="1">IF(Table24[[#This Row],[Start Date]]&gt;TODAY(),1,)</f>
        <v>0</v>
      </c>
    </row>
    <row r="172" spans="1:27" s="61" customFormat="1" x14ac:dyDescent="0.25">
      <c r="B172" s="96"/>
      <c r="C172" s="97"/>
      <c r="D172" s="97"/>
      <c r="E172" s="96"/>
      <c r="F172" s="107"/>
      <c r="G172" s="107"/>
      <c r="H172" s="99"/>
      <c r="I172" s="98"/>
      <c r="J172" s="98"/>
      <c r="K172" s="98"/>
      <c r="L172" s="98"/>
      <c r="M172" s="98"/>
      <c r="N172" s="98"/>
      <c r="O172" s="96"/>
      <c r="P172" s="96"/>
      <c r="Q172" s="15" t="e">
        <v>#N/A</v>
      </c>
      <c r="R172" s="15" t="e">
        <v>#N/A</v>
      </c>
      <c r="S172" s="15"/>
      <c r="T172" s="100"/>
      <c r="U172" s="15"/>
      <c r="V172" s="15"/>
      <c r="W172" s="15"/>
      <c r="X172" s="96"/>
      <c r="Y172" s="69">
        <f ca="1">Table24[[#This Row],[End Date]]+2-TODAY()</f>
        <v>-45775</v>
      </c>
      <c r="Z172" s="15">
        <f>IF(ISBLANK(Table24[[#This Row],[Roster Received By]]),1,0)</f>
        <v>1</v>
      </c>
      <c r="AA172" s="15">
        <f ca="1">IF(Table24[[#This Row],[Start Date]]&gt;TODAY(),1,)</f>
        <v>0</v>
      </c>
    </row>
    <row r="173" spans="1:27" s="61" customFormat="1" x14ac:dyDescent="0.25">
      <c r="B173" s="96"/>
      <c r="C173" s="97"/>
      <c r="D173" s="97"/>
      <c r="E173" s="96"/>
      <c r="F173" s="99"/>
      <c r="G173" s="99"/>
      <c r="H173" s="99"/>
      <c r="I173" s="98"/>
      <c r="J173" s="98"/>
      <c r="K173" s="98"/>
      <c r="L173" s="98"/>
      <c r="M173" s="98"/>
      <c r="N173" s="98"/>
      <c r="O173" s="96"/>
      <c r="P173" s="96"/>
      <c r="Q173" s="15" t="e">
        <v>#N/A</v>
      </c>
      <c r="R173" s="15" t="e">
        <v>#N/A</v>
      </c>
      <c r="S173" s="15"/>
      <c r="T173" s="100"/>
      <c r="U173" s="15"/>
      <c r="V173" s="15"/>
      <c r="W173" s="15"/>
      <c r="X173" s="96"/>
      <c r="Y173" s="69">
        <f ca="1">Table24[[#This Row],[End Date]]+2-TODAY()</f>
        <v>-45775</v>
      </c>
      <c r="Z173" s="15">
        <f>IF(ISBLANK(Table24[[#This Row],[Roster Received By]]),1,0)</f>
        <v>1</v>
      </c>
      <c r="AA173" s="15">
        <f ca="1">IF(Table24[[#This Row],[Start Date]]&gt;TODAY(),1,)</f>
        <v>0</v>
      </c>
    </row>
    <row r="174" spans="1:27" s="61" customFormat="1" x14ac:dyDescent="0.25">
      <c r="B174" s="96"/>
      <c r="C174" s="97"/>
      <c r="D174" s="97"/>
      <c r="E174" s="96"/>
      <c r="F174" s="107"/>
      <c r="G174" s="107"/>
      <c r="H174" s="99"/>
      <c r="I174" s="98"/>
      <c r="J174" s="98"/>
      <c r="K174" s="98"/>
      <c r="L174" s="98"/>
      <c r="M174" s="98"/>
      <c r="N174" s="98"/>
      <c r="O174" s="96"/>
      <c r="P174" s="96"/>
      <c r="Q174" s="15" t="e">
        <v>#N/A</v>
      </c>
      <c r="R174" s="15" t="e">
        <v>#N/A</v>
      </c>
      <c r="S174" s="15"/>
      <c r="T174" s="100"/>
      <c r="U174" s="15"/>
      <c r="V174" s="15"/>
      <c r="W174" s="15"/>
      <c r="X174" s="96"/>
      <c r="Y174" s="69">
        <f ca="1">Table24[[#This Row],[End Date]]+2-TODAY()</f>
        <v>-45775</v>
      </c>
      <c r="Z174" s="15">
        <f>IF(ISBLANK(Table24[[#This Row],[Roster Received By]]),1,0)</f>
        <v>1</v>
      </c>
      <c r="AA174" s="15">
        <f ca="1">IF(Table24[[#This Row],[Start Date]]&gt;TODAY(),1,)</f>
        <v>0</v>
      </c>
    </row>
    <row r="175" spans="1:27" s="61" customFormat="1" x14ac:dyDescent="0.25">
      <c r="B175" s="96"/>
      <c r="C175" s="97"/>
      <c r="D175" s="97"/>
      <c r="E175" s="96"/>
      <c r="F175" s="107"/>
      <c r="G175" s="107"/>
      <c r="H175" s="99"/>
      <c r="I175" s="98"/>
      <c r="J175" s="98"/>
      <c r="K175" s="98"/>
      <c r="L175" s="98"/>
      <c r="M175" s="98"/>
      <c r="N175" s="98"/>
      <c r="O175" s="96"/>
      <c r="P175" s="96"/>
      <c r="Q175" s="15" t="e">
        <v>#N/A</v>
      </c>
      <c r="R175" s="15" t="e">
        <v>#N/A</v>
      </c>
      <c r="S175" s="15"/>
      <c r="T175" s="100"/>
      <c r="U175" s="15"/>
      <c r="V175" s="15"/>
      <c r="W175" s="15"/>
      <c r="X175" s="96"/>
      <c r="Y175" s="69">
        <f ca="1">Table24[[#This Row],[End Date]]+2-TODAY()</f>
        <v>-45775</v>
      </c>
      <c r="Z175" s="15">
        <f>IF(ISBLANK(Table24[[#This Row],[Roster Received By]]),1,0)</f>
        <v>1</v>
      </c>
      <c r="AA175" s="15">
        <f ca="1">IF(Table24[[#This Row],[Start Date]]&gt;TODAY(),1,)</f>
        <v>0</v>
      </c>
    </row>
    <row r="176" spans="1:27" s="61" customFormat="1" x14ac:dyDescent="0.25">
      <c r="B176" s="96"/>
      <c r="C176" s="97"/>
      <c r="D176" s="97"/>
      <c r="E176" s="96"/>
      <c r="F176" s="107"/>
      <c r="G176" s="107"/>
      <c r="H176" s="99"/>
      <c r="I176" s="98"/>
      <c r="J176" s="98"/>
      <c r="K176" s="98"/>
      <c r="L176" s="98"/>
      <c r="M176" s="98"/>
      <c r="N176" s="98"/>
      <c r="O176" s="96"/>
      <c r="P176" s="96"/>
      <c r="Q176" s="15" t="e">
        <v>#N/A</v>
      </c>
      <c r="R176" s="15" t="e">
        <v>#N/A</v>
      </c>
      <c r="S176" s="15"/>
      <c r="T176" s="100"/>
      <c r="U176" s="15"/>
      <c r="V176" s="15"/>
      <c r="W176" s="15"/>
      <c r="X176" s="96"/>
      <c r="Y176" s="69">
        <f ca="1">Table24[[#This Row],[End Date]]+2-TODAY()</f>
        <v>-45775</v>
      </c>
      <c r="Z176" s="15">
        <f>IF(ISBLANK(Table24[[#This Row],[Roster Received By]]),1,0)</f>
        <v>1</v>
      </c>
      <c r="AA176" s="15">
        <f ca="1">IF(Table24[[#This Row],[Start Date]]&gt;TODAY(),1,)</f>
        <v>0</v>
      </c>
    </row>
    <row r="177" spans="1:27" s="61" customFormat="1" x14ac:dyDescent="0.25">
      <c r="B177" s="96"/>
      <c r="C177" s="97"/>
      <c r="D177" s="97"/>
      <c r="E177" s="96"/>
      <c r="F177" s="107"/>
      <c r="G177" s="107"/>
      <c r="H177" s="99"/>
      <c r="I177" s="98"/>
      <c r="J177" s="98"/>
      <c r="K177" s="98"/>
      <c r="L177" s="98"/>
      <c r="M177" s="98"/>
      <c r="N177" s="98"/>
      <c r="O177" s="96"/>
      <c r="P177" s="96"/>
      <c r="Q177" s="15" t="e">
        <v>#N/A</v>
      </c>
      <c r="R177" s="15" t="e">
        <v>#N/A</v>
      </c>
      <c r="S177" s="15"/>
      <c r="T177" s="100"/>
      <c r="U177" s="15"/>
      <c r="V177" s="15"/>
      <c r="W177" s="97"/>
      <c r="X177" s="96"/>
      <c r="Y177" s="69">
        <f ca="1">Table24[[#This Row],[End Date]]+2-TODAY()</f>
        <v>-45775</v>
      </c>
      <c r="Z177" s="15">
        <f>IF(ISBLANK(Table24[[#This Row],[Roster Received By]]),1,0)</f>
        <v>1</v>
      </c>
      <c r="AA177" s="15">
        <f ca="1">IF(Table24[[#This Row],[Start Date]]&gt;TODAY(),1,)</f>
        <v>0</v>
      </c>
    </row>
    <row r="178" spans="1:27" s="61" customFormat="1" x14ac:dyDescent="0.25">
      <c r="B178" s="96"/>
      <c r="C178" s="97"/>
      <c r="D178" s="97"/>
      <c r="E178" s="96"/>
      <c r="F178" s="107"/>
      <c r="G178" s="107"/>
      <c r="H178" s="99"/>
      <c r="I178" s="98"/>
      <c r="J178" s="98"/>
      <c r="K178" s="98"/>
      <c r="L178" s="98"/>
      <c r="M178" s="98"/>
      <c r="N178" s="98"/>
      <c r="O178" s="96"/>
      <c r="P178" s="96"/>
      <c r="Q178" s="15" t="e">
        <v>#N/A</v>
      </c>
      <c r="R178" s="15" t="e">
        <v>#N/A</v>
      </c>
      <c r="S178" s="15"/>
      <c r="T178" s="100"/>
      <c r="U178" s="15"/>
      <c r="V178" s="15"/>
      <c r="W178" s="15"/>
      <c r="X178" s="96"/>
      <c r="Y178" s="69">
        <f ca="1">Table24[[#This Row],[End Date]]+2-TODAY()</f>
        <v>-45775</v>
      </c>
      <c r="Z178" s="15">
        <f>IF(ISBLANK(Table24[[#This Row],[Roster Received By]]),1,0)</f>
        <v>1</v>
      </c>
      <c r="AA178" s="15">
        <f ca="1">IF(Table24[[#This Row],[Start Date]]&gt;TODAY(),1,)</f>
        <v>0</v>
      </c>
    </row>
    <row r="179" spans="1:27" s="61" customFormat="1" x14ac:dyDescent="0.25">
      <c r="B179" s="96"/>
      <c r="C179" s="97"/>
      <c r="D179" s="97"/>
      <c r="E179" s="96"/>
      <c r="F179" s="107"/>
      <c r="G179" s="107"/>
      <c r="H179" s="99"/>
      <c r="I179" s="98"/>
      <c r="J179" s="98"/>
      <c r="K179" s="98"/>
      <c r="L179" s="98"/>
      <c r="M179" s="98"/>
      <c r="N179" s="98"/>
      <c r="O179" s="96"/>
      <c r="P179" s="96"/>
      <c r="Q179" s="15" t="e">
        <v>#N/A</v>
      </c>
      <c r="R179" s="15" t="e">
        <v>#N/A</v>
      </c>
      <c r="S179" s="15"/>
      <c r="T179" s="100"/>
      <c r="U179" s="15"/>
      <c r="V179" s="15"/>
      <c r="W179" s="15"/>
      <c r="X179" s="96"/>
      <c r="Y179" s="69">
        <f ca="1">Table24[[#This Row],[End Date]]+2-TODAY()</f>
        <v>-45775</v>
      </c>
      <c r="Z179" s="15">
        <f>IF(ISBLANK(Table24[[#This Row],[Roster Received By]]),1,0)</f>
        <v>1</v>
      </c>
      <c r="AA179" s="15">
        <f ca="1">IF(Table24[[#This Row],[Start Date]]&gt;TODAY(),1,)</f>
        <v>0</v>
      </c>
    </row>
    <row r="180" spans="1:27" s="61" customFormat="1" x14ac:dyDescent="0.25">
      <c r="B180" s="96"/>
      <c r="C180" s="97"/>
      <c r="D180" s="97"/>
      <c r="E180" s="96"/>
      <c r="F180" s="107"/>
      <c r="G180" s="107"/>
      <c r="H180" s="102"/>
      <c r="I180" s="102"/>
      <c r="J180" s="102"/>
      <c r="K180" s="102"/>
      <c r="L180" s="102"/>
      <c r="M180" s="102"/>
      <c r="N180" s="99"/>
      <c r="O180" s="96"/>
      <c r="P180" s="96"/>
      <c r="Q180" s="15" t="e">
        <v>#N/A</v>
      </c>
      <c r="R180" s="15" t="e">
        <v>#N/A</v>
      </c>
      <c r="S180" s="15"/>
      <c r="T180" s="100"/>
      <c r="U180" s="15"/>
      <c r="V180" s="15"/>
      <c r="W180" s="15"/>
      <c r="X180" s="96"/>
      <c r="Y180" s="69">
        <f ca="1">Table24[[#This Row],[End Date]]+2-TODAY()</f>
        <v>-45775</v>
      </c>
      <c r="Z180" s="15">
        <f>IF(ISBLANK(Table24[[#This Row],[Roster Received By]]),1,0)</f>
        <v>1</v>
      </c>
      <c r="AA180" s="15">
        <f ca="1">IF(Table24[[#This Row],[Start Date]]&gt;TODAY(),1,)</f>
        <v>0</v>
      </c>
    </row>
    <row r="181" spans="1:27" s="61" customFormat="1" x14ac:dyDescent="0.25">
      <c r="B181" s="96"/>
      <c r="C181" s="97"/>
      <c r="D181" s="97"/>
      <c r="E181" s="96"/>
      <c r="F181" s="99"/>
      <c r="G181" s="99"/>
      <c r="H181" s="99"/>
      <c r="I181" s="98"/>
      <c r="J181" s="98"/>
      <c r="K181" s="98"/>
      <c r="L181" s="98"/>
      <c r="M181" s="98"/>
      <c r="N181" s="98"/>
      <c r="O181" s="96"/>
      <c r="P181" s="96"/>
      <c r="Q181" s="15" t="e">
        <v>#N/A</v>
      </c>
      <c r="R181" s="15" t="e">
        <v>#N/A</v>
      </c>
      <c r="S181" s="15"/>
      <c r="T181" s="100"/>
      <c r="U181" s="15"/>
      <c r="V181" s="15"/>
      <c r="W181" s="15"/>
      <c r="X181" s="96"/>
      <c r="Y181" s="69">
        <f ca="1">Table24[[#This Row],[End Date]]+2-TODAY()</f>
        <v>-45775</v>
      </c>
      <c r="Z181" s="15">
        <f>IF(ISBLANK(Table24[[#This Row],[Roster Received By]]),1,0)</f>
        <v>1</v>
      </c>
      <c r="AA181" s="15">
        <f ca="1">IF(Table24[[#This Row],[Start Date]]&gt;TODAY(),1,)</f>
        <v>0</v>
      </c>
    </row>
    <row r="182" spans="1:27" s="16" customFormat="1" ht="14.25" customHeight="1" x14ac:dyDescent="0.25">
      <c r="A182" s="61"/>
      <c r="B182" s="96"/>
      <c r="C182" s="97"/>
      <c r="D182" s="97"/>
      <c r="E182" s="96"/>
      <c r="F182" s="99"/>
      <c r="G182" s="99"/>
      <c r="H182" s="102"/>
      <c r="I182" s="102"/>
      <c r="J182" s="99"/>
      <c r="K182" s="99"/>
      <c r="L182" s="99"/>
      <c r="M182" s="99"/>
      <c r="N182" s="99"/>
      <c r="O182" s="96"/>
      <c r="P182" s="96"/>
      <c r="Q182" s="15" t="e">
        <v>#N/A</v>
      </c>
      <c r="R182" s="15" t="e">
        <v>#N/A</v>
      </c>
      <c r="S182" s="15"/>
      <c r="T182" s="100"/>
      <c r="U182" s="15"/>
      <c r="V182" s="15"/>
      <c r="W182" s="15"/>
      <c r="X182" s="96"/>
      <c r="Y182" s="69">
        <f ca="1">Table24[[#This Row],[End Date]]+2-TODAY()</f>
        <v>-45775</v>
      </c>
      <c r="Z182" s="15">
        <f>IF(ISBLANK(Table24[[#This Row],[Roster Received By]]),1,0)</f>
        <v>1</v>
      </c>
      <c r="AA182" s="15">
        <f ca="1">IF(Table24[[#This Row],[Start Date]]&gt;TODAY(),1,)</f>
        <v>0</v>
      </c>
    </row>
    <row r="183" spans="1:27" s="61" customFormat="1" ht="15" customHeight="1" x14ac:dyDescent="0.25">
      <c r="B183" s="96"/>
      <c r="C183" s="97"/>
      <c r="D183" s="97"/>
      <c r="E183" s="96"/>
      <c r="F183" s="107"/>
      <c r="G183" s="107"/>
      <c r="H183" s="102"/>
      <c r="I183" s="102"/>
      <c r="J183" s="99"/>
      <c r="K183" s="99"/>
      <c r="L183" s="99"/>
      <c r="M183" s="99"/>
      <c r="N183" s="99"/>
      <c r="O183" s="96"/>
      <c r="P183" s="96"/>
      <c r="Q183" s="15" t="e">
        <v>#N/A</v>
      </c>
      <c r="R183" s="15" t="e">
        <v>#N/A</v>
      </c>
      <c r="S183" s="15"/>
      <c r="T183" s="100"/>
      <c r="U183" s="15"/>
      <c r="V183" s="15"/>
      <c r="W183" s="15"/>
      <c r="X183" s="96"/>
      <c r="Y183" s="69">
        <f ca="1">Table24[[#This Row],[End Date]]+2-TODAY()</f>
        <v>-45775</v>
      </c>
      <c r="Z183" s="15">
        <f>IF(ISBLANK(Table24[[#This Row],[Roster Received By]]),1,0)</f>
        <v>1</v>
      </c>
      <c r="AA183" s="15">
        <f ca="1">IF(Table24[[#This Row],[Start Date]]&gt;TODAY(),1,)</f>
        <v>0</v>
      </c>
    </row>
    <row r="184" spans="1:27" s="61" customFormat="1" x14ac:dyDescent="0.25">
      <c r="B184" s="96"/>
      <c r="C184" s="97"/>
      <c r="D184" s="97"/>
      <c r="E184" s="96"/>
      <c r="F184" s="107"/>
      <c r="G184" s="107"/>
      <c r="H184" s="99"/>
      <c r="I184" s="98"/>
      <c r="J184" s="98"/>
      <c r="K184" s="98"/>
      <c r="L184" s="98"/>
      <c r="M184" s="98"/>
      <c r="N184" s="98"/>
      <c r="O184" s="96"/>
      <c r="P184" s="96"/>
      <c r="Q184" s="15" t="e">
        <v>#N/A</v>
      </c>
      <c r="R184" s="15" t="e">
        <v>#N/A</v>
      </c>
      <c r="S184" s="15"/>
      <c r="T184" s="100"/>
      <c r="U184" s="15"/>
      <c r="V184" s="15"/>
      <c r="W184" s="15"/>
      <c r="X184" s="96"/>
      <c r="Y184" s="69">
        <f ca="1">Table24[[#This Row],[End Date]]+2-TODAY()</f>
        <v>-45775</v>
      </c>
      <c r="Z184" s="15">
        <f>IF(ISBLANK(Table24[[#This Row],[Roster Received By]]),1,0)</f>
        <v>1</v>
      </c>
      <c r="AA184" s="15">
        <f ca="1">IF(Table24[[#This Row],[Start Date]]&gt;TODAY(),1,)</f>
        <v>0</v>
      </c>
    </row>
    <row r="185" spans="1:27" s="61" customFormat="1" x14ac:dyDescent="0.25">
      <c r="B185" s="96"/>
      <c r="C185" s="97"/>
      <c r="D185" s="97"/>
      <c r="E185" s="96"/>
      <c r="F185" s="99"/>
      <c r="G185" s="99"/>
      <c r="H185" s="102"/>
      <c r="I185" s="102"/>
      <c r="J185" s="99"/>
      <c r="K185" s="99"/>
      <c r="L185" s="99"/>
      <c r="M185" s="99"/>
      <c r="N185" s="99"/>
      <c r="O185" s="96"/>
      <c r="P185" s="96"/>
      <c r="Q185" s="15" t="e">
        <v>#N/A</v>
      </c>
      <c r="R185" s="15" t="e">
        <v>#N/A</v>
      </c>
      <c r="S185" s="100"/>
      <c r="T185" s="100"/>
      <c r="U185" s="15"/>
      <c r="V185" s="15"/>
      <c r="W185" s="15"/>
      <c r="X185" s="96"/>
      <c r="Y185" s="69">
        <f ca="1">Table24[[#This Row],[End Date]]+2-TODAY()</f>
        <v>-45775</v>
      </c>
      <c r="Z185" s="15">
        <f>IF(ISBLANK(Table24[[#This Row],[Roster Received By]]),1,0)</f>
        <v>1</v>
      </c>
      <c r="AA185" s="15">
        <f ca="1">IF(Table24[[#This Row],[Start Date]]&gt;TODAY(),1,)</f>
        <v>0</v>
      </c>
    </row>
    <row r="186" spans="1:27" s="61" customFormat="1" x14ac:dyDescent="0.25">
      <c r="B186" s="96"/>
      <c r="C186" s="97"/>
      <c r="D186" s="97"/>
      <c r="E186" s="96"/>
      <c r="F186" s="99"/>
      <c r="G186" s="99"/>
      <c r="H186" s="99"/>
      <c r="I186" s="98"/>
      <c r="J186" s="98"/>
      <c r="K186" s="98"/>
      <c r="L186" s="98"/>
      <c r="M186" s="98"/>
      <c r="N186" s="98"/>
      <c r="O186" s="96"/>
      <c r="P186" s="96"/>
      <c r="Q186" s="15" t="e">
        <v>#N/A</v>
      </c>
      <c r="R186" s="15" t="e">
        <v>#N/A</v>
      </c>
      <c r="S186" s="15"/>
      <c r="T186" s="100"/>
      <c r="U186" s="15"/>
      <c r="V186" s="15"/>
      <c r="W186" s="104"/>
      <c r="X186" s="96"/>
      <c r="Y186" s="69">
        <f ca="1">Table24[[#This Row],[End Date]]+2-TODAY()</f>
        <v>-45775</v>
      </c>
      <c r="Z186" s="15">
        <f>IF(ISBLANK(Table24[[#This Row],[Roster Received By]]),1,0)</f>
        <v>1</v>
      </c>
      <c r="AA186" s="15">
        <f ca="1">IF(Table24[[#This Row],[Start Date]]&gt;TODAY(),1,)</f>
        <v>0</v>
      </c>
    </row>
    <row r="187" spans="1:27" s="61" customFormat="1" x14ac:dyDescent="0.25">
      <c r="B187" s="96"/>
      <c r="C187" s="97"/>
      <c r="D187" s="97"/>
      <c r="E187" s="96"/>
      <c r="F187" s="99"/>
      <c r="G187" s="99"/>
      <c r="H187" s="99"/>
      <c r="I187" s="98"/>
      <c r="J187" s="98"/>
      <c r="K187" s="98"/>
      <c r="L187" s="98"/>
      <c r="M187" s="98"/>
      <c r="N187" s="98"/>
      <c r="O187" s="96"/>
      <c r="P187" s="96"/>
      <c r="Q187" s="15" t="e">
        <v>#N/A</v>
      </c>
      <c r="R187" s="15" t="e">
        <v>#N/A</v>
      </c>
      <c r="S187" s="15"/>
      <c r="T187" s="100"/>
      <c r="U187" s="15"/>
      <c r="V187" s="15"/>
      <c r="W187" s="100"/>
      <c r="X187" s="96"/>
      <c r="Y187" s="69">
        <f ca="1">Table24[[#This Row],[End Date]]+2-TODAY()</f>
        <v>-45775</v>
      </c>
      <c r="Z187" s="15">
        <f>IF(ISBLANK(Table24[[#This Row],[Roster Received By]]),1,0)</f>
        <v>1</v>
      </c>
      <c r="AA187" s="15">
        <f ca="1">IF(Table24[[#This Row],[Start Date]]&gt;TODAY(),1,)</f>
        <v>0</v>
      </c>
    </row>
    <row r="188" spans="1:27" s="61" customFormat="1" x14ac:dyDescent="0.25">
      <c r="A188" s="64"/>
      <c r="B188" s="96"/>
      <c r="C188" s="97"/>
      <c r="D188" s="97"/>
      <c r="E188" s="96"/>
      <c r="F188" s="99"/>
      <c r="G188" s="99"/>
      <c r="H188" s="105"/>
      <c r="I188" s="105"/>
      <c r="J188" s="99"/>
      <c r="K188" s="99"/>
      <c r="L188" s="99"/>
      <c r="M188" s="99"/>
      <c r="N188" s="99"/>
      <c r="O188" s="96"/>
      <c r="P188" s="96"/>
      <c r="Q188" s="15" t="e">
        <v>#N/A</v>
      </c>
      <c r="R188" s="15" t="e">
        <v>#N/A</v>
      </c>
      <c r="S188" s="15"/>
      <c r="T188" s="100"/>
      <c r="U188" s="15"/>
      <c r="V188" s="15"/>
      <c r="W188" s="15"/>
      <c r="X188" s="96"/>
      <c r="Y188" s="69">
        <f ca="1">Table24[[#This Row],[End Date]]+2-TODAY()</f>
        <v>-45775</v>
      </c>
      <c r="Z188" s="15">
        <f>IF(ISBLANK(Table24[[#This Row],[Roster Received By]]),1,0)</f>
        <v>1</v>
      </c>
      <c r="AA188" s="15">
        <f ca="1">IF(Table24[[#This Row],[Start Date]]&gt;TODAY(),1,)</f>
        <v>0</v>
      </c>
    </row>
    <row r="189" spans="1:27" s="61" customFormat="1" x14ac:dyDescent="0.25">
      <c r="B189" s="96"/>
      <c r="C189" s="97"/>
      <c r="D189" s="97"/>
      <c r="E189" s="96"/>
      <c r="F189" s="99"/>
      <c r="G189" s="99"/>
      <c r="H189" s="102"/>
      <c r="I189" s="105"/>
      <c r="J189" s="99"/>
      <c r="K189" s="99"/>
      <c r="L189" s="99"/>
      <c r="M189" s="99"/>
      <c r="N189" s="99"/>
      <c r="O189" s="96"/>
      <c r="P189" s="96"/>
      <c r="Q189" s="15" t="e">
        <v>#N/A</v>
      </c>
      <c r="R189" s="15" t="e">
        <v>#N/A</v>
      </c>
      <c r="S189" s="100"/>
      <c r="T189" s="100"/>
      <c r="U189" s="15"/>
      <c r="V189" s="15"/>
      <c r="W189" s="15"/>
      <c r="X189" s="96"/>
      <c r="Y189" s="69">
        <f ca="1">Table24[[#This Row],[End Date]]+2-TODAY()</f>
        <v>-45775</v>
      </c>
      <c r="Z189" s="15">
        <f>IF(ISBLANK(Table24[[#This Row],[Roster Received By]]),1,0)</f>
        <v>1</v>
      </c>
      <c r="AA189" s="15">
        <f ca="1">IF(Table24[[#This Row],[Start Date]]&gt;TODAY(),1,)</f>
        <v>0</v>
      </c>
    </row>
    <row r="190" spans="1:27" s="61" customFormat="1" x14ac:dyDescent="0.25">
      <c r="B190" s="96"/>
      <c r="C190" s="97"/>
      <c r="D190" s="97"/>
      <c r="E190" s="121"/>
      <c r="F190" s="66"/>
      <c r="G190" s="66"/>
      <c r="H190" s="98"/>
      <c r="I190" s="98"/>
      <c r="J190" s="98"/>
      <c r="K190" s="98"/>
      <c r="L190" s="98"/>
      <c r="M190" s="98"/>
      <c r="N190" s="98"/>
      <c r="O190" s="96"/>
      <c r="P190" s="96"/>
      <c r="Q190" s="15" t="e">
        <v>#N/A</v>
      </c>
      <c r="R190" s="15" t="e">
        <v>#N/A</v>
      </c>
      <c r="S190" s="15"/>
      <c r="T190" s="100"/>
      <c r="U190" s="15"/>
      <c r="V190" s="15"/>
      <c r="W190" s="15"/>
      <c r="X190" s="96"/>
      <c r="Y190" s="69">
        <f ca="1">Table24[[#This Row],[End Date]]+2-TODAY()</f>
        <v>-45775</v>
      </c>
      <c r="Z190" s="15">
        <f>IF(ISBLANK(Table24[[#This Row],[Roster Received By]]),1,0)</f>
        <v>1</v>
      </c>
      <c r="AA190" s="15">
        <f ca="1">IF(Table24[[#This Row],[Start Date]]&gt;TODAY(),1,)</f>
        <v>0</v>
      </c>
    </row>
    <row r="191" spans="1:27" s="61" customFormat="1" x14ac:dyDescent="0.25">
      <c r="A191" s="96"/>
      <c r="B191" s="96"/>
      <c r="C191" s="97"/>
      <c r="D191" s="97"/>
      <c r="E191" s="96"/>
      <c r="F191" s="99"/>
      <c r="G191" s="99"/>
      <c r="H191" s="102"/>
      <c r="I191" s="102"/>
      <c r="J191" s="99"/>
      <c r="K191" s="99"/>
      <c r="L191" s="99"/>
      <c r="M191" s="99"/>
      <c r="N191" s="99"/>
      <c r="O191" s="96"/>
      <c r="P191" s="96"/>
      <c r="Q191" s="15" t="e">
        <v>#N/A</v>
      </c>
      <c r="R191" s="15" t="e">
        <v>#N/A</v>
      </c>
      <c r="S191" s="15"/>
      <c r="T191" s="100"/>
      <c r="U191" s="15"/>
      <c r="V191" s="15"/>
      <c r="W191" s="15"/>
      <c r="X191" s="96"/>
      <c r="Y191" s="69">
        <f ca="1">Table24[[#This Row],[End Date]]+2-TODAY()</f>
        <v>-45775</v>
      </c>
      <c r="Z191" s="15">
        <f>IF(ISBLANK(Table24[[#This Row],[Roster Received By]]),1,0)</f>
        <v>1</v>
      </c>
      <c r="AA191" s="15">
        <f ca="1">IF(Table24[[#This Row],[Start Date]]&gt;TODAY(),1,)</f>
        <v>0</v>
      </c>
    </row>
    <row r="192" spans="1:27" s="61" customFormat="1" x14ac:dyDescent="0.25">
      <c r="A192" s="97"/>
      <c r="B192" s="96"/>
      <c r="C192" s="97"/>
      <c r="D192" s="97"/>
      <c r="E192" s="96"/>
      <c r="F192" s="99"/>
      <c r="G192" s="99"/>
      <c r="H192" s="102"/>
      <c r="I192" s="102"/>
      <c r="J192" s="99"/>
      <c r="K192" s="99"/>
      <c r="L192" s="99"/>
      <c r="M192" s="99"/>
      <c r="N192" s="99"/>
      <c r="O192" s="96"/>
      <c r="P192" s="96"/>
      <c r="Q192" s="15" t="e">
        <v>#N/A</v>
      </c>
      <c r="R192" s="15" t="e">
        <v>#N/A</v>
      </c>
      <c r="S192" s="104"/>
      <c r="T192" s="100"/>
      <c r="U192" s="15"/>
      <c r="V192" s="15"/>
      <c r="W192" s="15"/>
      <c r="X192" s="96"/>
      <c r="Y192" s="69">
        <f ca="1">Table24[[#This Row],[End Date]]+2-TODAY()</f>
        <v>-45775</v>
      </c>
      <c r="Z192" s="15">
        <f>IF(ISBLANK(Table24[[#This Row],[Roster Received By]]),1,0)</f>
        <v>1</v>
      </c>
      <c r="AA192" s="15">
        <f ca="1">IF(Table24[[#This Row],[Start Date]]&gt;TODAY(),1,)</f>
        <v>0</v>
      </c>
    </row>
    <row r="193" spans="1:27" s="61" customFormat="1" x14ac:dyDescent="0.25">
      <c r="B193" s="96"/>
      <c r="C193" s="97"/>
      <c r="D193" s="97"/>
      <c r="E193" s="96"/>
      <c r="F193" s="99"/>
      <c r="G193" s="99"/>
      <c r="H193" s="102"/>
      <c r="I193" s="102"/>
      <c r="J193" s="99"/>
      <c r="K193" s="99"/>
      <c r="L193" s="99"/>
      <c r="M193" s="99"/>
      <c r="N193" s="99"/>
      <c r="O193" s="96"/>
      <c r="P193" s="96"/>
      <c r="Q193" s="15" t="e">
        <v>#N/A</v>
      </c>
      <c r="R193" s="15" t="e">
        <v>#N/A</v>
      </c>
      <c r="S193" s="15"/>
      <c r="T193" s="100"/>
      <c r="U193" s="15"/>
      <c r="V193" s="15"/>
      <c r="W193" s="15"/>
      <c r="X193" s="96"/>
      <c r="Y193" s="69">
        <f ca="1">Table24[[#This Row],[End Date]]+2-TODAY()</f>
        <v>-45775</v>
      </c>
      <c r="Z193" s="15">
        <f>IF(ISBLANK(Table24[[#This Row],[Roster Received By]]),1,0)</f>
        <v>1</v>
      </c>
      <c r="AA193" s="15">
        <f ca="1">IF(Table24[[#This Row],[Start Date]]&gt;TODAY(),1,)</f>
        <v>0</v>
      </c>
    </row>
    <row r="194" spans="1:27" s="61" customFormat="1" x14ac:dyDescent="0.25">
      <c r="B194" s="96"/>
      <c r="C194" s="97"/>
      <c r="D194" s="97"/>
      <c r="E194" s="96"/>
      <c r="F194" s="99"/>
      <c r="G194" s="99"/>
      <c r="H194" s="99"/>
      <c r="I194" s="98"/>
      <c r="J194" s="98"/>
      <c r="K194" s="98"/>
      <c r="L194" s="98"/>
      <c r="M194" s="98"/>
      <c r="N194" s="98"/>
      <c r="O194" s="96"/>
      <c r="P194" s="96"/>
      <c r="Q194" s="15" t="e">
        <v>#N/A</v>
      </c>
      <c r="R194" s="15" t="e">
        <v>#N/A</v>
      </c>
      <c r="S194" s="15"/>
      <c r="T194" s="100"/>
      <c r="U194" s="15"/>
      <c r="V194" s="15"/>
      <c r="W194" s="15"/>
      <c r="X194" s="96"/>
      <c r="Y194" s="69">
        <f ca="1">Table24[[#This Row],[End Date]]+2-TODAY()</f>
        <v>-45775</v>
      </c>
      <c r="Z194" s="15">
        <f>IF(ISBLANK(Table24[[#This Row],[Roster Received By]]),1,0)</f>
        <v>1</v>
      </c>
      <c r="AA194" s="15">
        <f ca="1">IF(Table24[[#This Row],[Start Date]]&gt;TODAY(),1,)</f>
        <v>0</v>
      </c>
    </row>
    <row r="195" spans="1:27" s="61" customFormat="1" x14ac:dyDescent="0.25">
      <c r="B195" s="64"/>
      <c r="C195" s="97"/>
      <c r="D195" s="97"/>
      <c r="E195" s="64"/>
      <c r="F195" s="66"/>
      <c r="G195" s="66"/>
      <c r="H195" s="98"/>
      <c r="I195" s="98"/>
      <c r="J195" s="99"/>
      <c r="K195" s="99"/>
      <c r="L195" s="99"/>
      <c r="M195" s="99"/>
      <c r="N195" s="99"/>
      <c r="O195" s="96"/>
      <c r="P195" s="96"/>
      <c r="Q195" s="15" t="e">
        <v>#N/A</v>
      </c>
      <c r="R195" s="15" t="e">
        <v>#N/A</v>
      </c>
      <c r="S195" s="15"/>
      <c r="T195" s="100"/>
      <c r="U195" s="15"/>
      <c r="V195" s="15"/>
      <c r="W195" s="15"/>
      <c r="X195" s="96"/>
      <c r="Y195" s="69">
        <f ca="1">Table24[[#This Row],[End Date]]+2-TODAY()</f>
        <v>-45775</v>
      </c>
      <c r="Z195" s="15">
        <f>IF(ISBLANK(Table24[[#This Row],[Roster Received By]]),1,0)</f>
        <v>1</v>
      </c>
      <c r="AA195" s="15">
        <f ca="1">IF(Table24[[#This Row],[Start Date]]&gt;TODAY(),1,)</f>
        <v>0</v>
      </c>
    </row>
    <row r="196" spans="1:27" s="61" customFormat="1" x14ac:dyDescent="0.25">
      <c r="B196" s="96"/>
      <c r="C196" s="97"/>
      <c r="D196" s="97"/>
      <c r="E196" s="96"/>
      <c r="F196" s="99"/>
      <c r="G196" s="99"/>
      <c r="H196" s="99"/>
      <c r="I196" s="98"/>
      <c r="J196" s="98"/>
      <c r="K196" s="98"/>
      <c r="L196" s="98"/>
      <c r="M196" s="98"/>
      <c r="N196" s="98"/>
      <c r="O196" s="96"/>
      <c r="P196" s="96"/>
      <c r="Q196" s="15" t="e">
        <v>#N/A</v>
      </c>
      <c r="R196" s="15" t="e">
        <v>#N/A</v>
      </c>
      <c r="S196" s="15"/>
      <c r="T196" s="100"/>
      <c r="U196" s="15"/>
      <c r="V196" s="15"/>
      <c r="W196" s="15"/>
      <c r="X196" s="96"/>
      <c r="Y196" s="69">
        <f ca="1">Table24[[#This Row],[End Date]]+2-TODAY()</f>
        <v>-45775</v>
      </c>
      <c r="Z196" s="15">
        <f>IF(ISBLANK(Table24[[#This Row],[Roster Received By]]),1,0)</f>
        <v>1</v>
      </c>
      <c r="AA196" s="15">
        <f ca="1">IF(Table24[[#This Row],[Start Date]]&gt;TODAY(),1,)</f>
        <v>0</v>
      </c>
    </row>
    <row r="197" spans="1:27" s="61" customFormat="1" x14ac:dyDescent="0.25">
      <c r="B197" s="96"/>
      <c r="C197" s="97"/>
      <c r="D197" s="97"/>
      <c r="E197" s="96"/>
      <c r="F197" s="99"/>
      <c r="G197" s="99"/>
      <c r="H197" s="99"/>
      <c r="I197" s="98"/>
      <c r="J197" s="98"/>
      <c r="K197" s="98"/>
      <c r="L197" s="98"/>
      <c r="M197" s="98"/>
      <c r="N197" s="98"/>
      <c r="O197" s="96"/>
      <c r="P197" s="96"/>
      <c r="Q197" s="15" t="e">
        <v>#N/A</v>
      </c>
      <c r="R197" s="15" t="e">
        <v>#N/A</v>
      </c>
      <c r="S197" s="15"/>
      <c r="T197" s="100"/>
      <c r="U197" s="15"/>
      <c r="V197" s="15"/>
      <c r="W197" s="15"/>
      <c r="X197" s="96"/>
      <c r="Y197" s="69">
        <f ca="1">Table24[[#This Row],[End Date]]+2-TODAY()</f>
        <v>-45775</v>
      </c>
      <c r="Z197" s="15">
        <f>IF(ISBLANK(Table24[[#This Row],[Roster Received By]]),1,0)</f>
        <v>1</v>
      </c>
      <c r="AA197" s="15">
        <f ca="1">IF(Table24[[#This Row],[Start Date]]&gt;TODAY(),1,)</f>
        <v>0</v>
      </c>
    </row>
    <row r="198" spans="1:27" s="61" customFormat="1" x14ac:dyDescent="0.25">
      <c r="B198" s="96"/>
      <c r="C198" s="97"/>
      <c r="D198" s="97"/>
      <c r="E198" s="96"/>
      <c r="F198" s="99"/>
      <c r="G198" s="99"/>
      <c r="H198" s="99"/>
      <c r="I198" s="98"/>
      <c r="J198" s="98"/>
      <c r="K198" s="98"/>
      <c r="L198" s="98"/>
      <c r="M198" s="98"/>
      <c r="N198" s="98"/>
      <c r="O198" s="96"/>
      <c r="P198" s="96"/>
      <c r="Q198" s="15" t="e">
        <v>#N/A</v>
      </c>
      <c r="R198" s="15" t="e">
        <v>#N/A</v>
      </c>
      <c r="S198" s="15"/>
      <c r="T198" s="100"/>
      <c r="U198" s="15"/>
      <c r="V198" s="15"/>
      <c r="W198" s="15"/>
      <c r="X198" s="96"/>
      <c r="Y198" s="69">
        <f ca="1">Table24[[#This Row],[End Date]]+2-TODAY()</f>
        <v>-45775</v>
      </c>
      <c r="Z198" s="15">
        <f>IF(ISBLANK(Table24[[#This Row],[Roster Received By]]),1,0)</f>
        <v>1</v>
      </c>
      <c r="AA198" s="15">
        <f ca="1">IF(Table24[[#This Row],[Start Date]]&gt;TODAY(),1,)</f>
        <v>0</v>
      </c>
    </row>
    <row r="199" spans="1:27" s="61" customFormat="1" x14ac:dyDescent="0.25">
      <c r="A199" s="96"/>
      <c r="B199" s="96"/>
      <c r="C199" s="97"/>
      <c r="D199" s="97"/>
      <c r="E199" s="64"/>
      <c r="F199" s="99"/>
      <c r="G199" s="99"/>
      <c r="H199" s="102"/>
      <c r="I199" s="102"/>
      <c r="J199" s="99"/>
      <c r="K199" s="99"/>
      <c r="L199" s="99"/>
      <c r="M199" s="99"/>
      <c r="N199" s="99"/>
      <c r="O199" s="96"/>
      <c r="P199" s="96"/>
      <c r="Q199" s="15" t="e">
        <v>#N/A</v>
      </c>
      <c r="R199" s="15" t="e">
        <v>#N/A</v>
      </c>
      <c r="S199" s="15"/>
      <c r="T199" s="100"/>
      <c r="U199" s="15"/>
      <c r="V199" s="15"/>
      <c r="W199" s="15"/>
      <c r="X199" s="96"/>
      <c r="Y199" s="69">
        <f ca="1">Table24[[#This Row],[End Date]]+2-TODAY()</f>
        <v>-45775</v>
      </c>
      <c r="Z199" s="15">
        <f>IF(ISBLANK(Table24[[#This Row],[Roster Received By]]),1,0)</f>
        <v>1</v>
      </c>
      <c r="AA199" s="15">
        <f ca="1">IF(Table24[[#This Row],[Start Date]]&gt;TODAY(),1,)</f>
        <v>0</v>
      </c>
    </row>
    <row r="200" spans="1:27" s="61" customFormat="1" x14ac:dyDescent="0.25">
      <c r="B200" s="96"/>
      <c r="C200" s="97"/>
      <c r="D200" s="97"/>
      <c r="E200" s="96"/>
      <c r="F200" s="107"/>
      <c r="G200" s="107"/>
      <c r="H200" s="99"/>
      <c r="I200" s="98"/>
      <c r="J200" s="98"/>
      <c r="K200" s="98"/>
      <c r="L200" s="98"/>
      <c r="M200" s="98"/>
      <c r="N200" s="98"/>
      <c r="O200" s="96"/>
      <c r="P200" s="96"/>
      <c r="Q200" s="15" t="e">
        <v>#N/A</v>
      </c>
      <c r="R200" s="15" t="e">
        <v>#N/A</v>
      </c>
      <c r="S200" s="15"/>
      <c r="T200" s="100"/>
      <c r="U200" s="15"/>
      <c r="V200" s="15"/>
      <c r="W200" s="15"/>
      <c r="X200" s="96"/>
      <c r="Y200" s="69">
        <f ca="1">Table24[[#This Row],[End Date]]+2-TODAY()</f>
        <v>-45775</v>
      </c>
      <c r="Z200" s="15">
        <f>IF(ISBLANK(Table24[[#This Row],[Roster Received By]]),1,0)</f>
        <v>1</v>
      </c>
      <c r="AA200" s="15">
        <f ca="1">IF(Table24[[#This Row],[Start Date]]&gt;TODAY(),1,)</f>
        <v>0</v>
      </c>
    </row>
    <row r="201" spans="1:27" s="61" customFormat="1" x14ac:dyDescent="0.25">
      <c r="B201" s="96"/>
      <c r="C201" s="97"/>
      <c r="D201" s="97"/>
      <c r="E201" s="64"/>
      <c r="F201" s="66"/>
      <c r="G201" s="66"/>
      <c r="H201" s="98"/>
      <c r="I201" s="98"/>
      <c r="J201" s="99"/>
      <c r="K201" s="99"/>
      <c r="L201" s="99"/>
      <c r="M201" s="99"/>
      <c r="N201" s="99"/>
      <c r="O201" s="96"/>
      <c r="P201" s="96"/>
      <c r="Q201" s="15" t="e">
        <v>#N/A</v>
      </c>
      <c r="R201" s="15" t="e">
        <v>#N/A</v>
      </c>
      <c r="S201" s="15"/>
      <c r="T201" s="100"/>
      <c r="U201" s="15"/>
      <c r="V201" s="15"/>
      <c r="W201" s="15"/>
      <c r="X201" s="96"/>
      <c r="Y201" s="69">
        <f ca="1">Table24[[#This Row],[End Date]]+2-TODAY()</f>
        <v>-45775</v>
      </c>
      <c r="Z201" s="15">
        <f>IF(ISBLANK(Table24[[#This Row],[Roster Received By]]),1,0)</f>
        <v>1</v>
      </c>
      <c r="AA201" s="15">
        <f ca="1">IF(Table24[[#This Row],[Start Date]]&gt;TODAY(),1,)</f>
        <v>0</v>
      </c>
    </row>
    <row r="202" spans="1:27" s="61" customFormat="1" x14ac:dyDescent="0.25">
      <c r="B202" s="96"/>
      <c r="C202" s="97"/>
      <c r="D202" s="97"/>
      <c r="E202" s="96"/>
      <c r="F202" s="66"/>
      <c r="G202" s="99"/>
      <c r="H202" s="99"/>
      <c r="I202" s="98"/>
      <c r="J202" s="98"/>
      <c r="K202" s="98"/>
      <c r="L202" s="98"/>
      <c r="M202" s="98"/>
      <c r="N202" s="98"/>
      <c r="O202" s="96"/>
      <c r="P202" s="96"/>
      <c r="Q202" s="15" t="e">
        <v>#N/A</v>
      </c>
      <c r="R202" s="15" t="e">
        <v>#N/A</v>
      </c>
      <c r="S202" s="15"/>
      <c r="T202" s="100"/>
      <c r="U202" s="15"/>
      <c r="V202" s="15"/>
      <c r="W202" s="15"/>
      <c r="X202" s="96"/>
      <c r="Y202" s="69">
        <f ca="1">Table24[[#This Row],[End Date]]+2-TODAY()</f>
        <v>-45775</v>
      </c>
      <c r="Z202" s="15">
        <f>IF(ISBLANK(Table24[[#This Row],[Roster Received By]]),1,0)</f>
        <v>1</v>
      </c>
      <c r="AA202" s="15">
        <f ca="1">IF(Table24[[#This Row],[Start Date]]&gt;TODAY(),1,)</f>
        <v>0</v>
      </c>
    </row>
    <row r="203" spans="1:27" s="61" customFormat="1" x14ac:dyDescent="0.25">
      <c r="B203" s="96"/>
      <c r="C203" s="97"/>
      <c r="D203" s="97"/>
      <c r="E203" s="96"/>
      <c r="F203" s="99"/>
      <c r="G203" s="99"/>
      <c r="H203" s="102"/>
      <c r="I203" s="102"/>
      <c r="J203" s="99"/>
      <c r="K203" s="99"/>
      <c r="L203" s="99"/>
      <c r="M203" s="99"/>
      <c r="N203" s="99"/>
      <c r="O203" s="96"/>
      <c r="P203" s="96"/>
      <c r="Q203" s="15" t="e">
        <v>#N/A</v>
      </c>
      <c r="R203" s="15" t="e">
        <v>#N/A</v>
      </c>
      <c r="S203" s="15"/>
      <c r="T203" s="100"/>
      <c r="U203" s="15"/>
      <c r="V203" s="15"/>
      <c r="W203" s="15"/>
      <c r="X203" s="96"/>
      <c r="Y203" s="69">
        <f ca="1">Table24[[#This Row],[End Date]]+2-TODAY()</f>
        <v>-45775</v>
      </c>
      <c r="Z203" s="15">
        <f>IF(ISBLANK(Table24[[#This Row],[Roster Received By]]),1,0)</f>
        <v>1</v>
      </c>
      <c r="AA203" s="15">
        <f ca="1">IF(Table24[[#This Row],[Start Date]]&gt;TODAY(),1,)</f>
        <v>0</v>
      </c>
    </row>
    <row r="204" spans="1:27" s="61" customFormat="1" x14ac:dyDescent="0.25">
      <c r="B204" s="96"/>
      <c r="C204" s="97"/>
      <c r="D204" s="97"/>
      <c r="E204" s="64"/>
      <c r="F204" s="66"/>
      <c r="G204" s="99"/>
      <c r="H204" s="102"/>
      <c r="I204" s="102"/>
      <c r="J204" s="99"/>
      <c r="K204" s="99"/>
      <c r="L204" s="99"/>
      <c r="M204" s="99"/>
      <c r="N204" s="99"/>
      <c r="O204" s="96"/>
      <c r="P204" s="96"/>
      <c r="Q204" s="15" t="e">
        <v>#N/A</v>
      </c>
      <c r="R204" s="15" t="e">
        <v>#N/A</v>
      </c>
      <c r="S204" s="15"/>
      <c r="T204" s="100"/>
      <c r="U204" s="15"/>
      <c r="V204" s="15"/>
      <c r="W204" s="15"/>
      <c r="X204" s="96"/>
      <c r="Y204" s="69">
        <f ca="1">Table24[[#This Row],[End Date]]+2-TODAY()</f>
        <v>-45775</v>
      </c>
      <c r="Z204" s="15">
        <f>IF(ISBLANK(Table24[[#This Row],[Roster Received By]]),1,0)</f>
        <v>1</v>
      </c>
      <c r="AA204" s="15">
        <f ca="1">IF(Table24[[#This Row],[Start Date]]&gt;TODAY(),1,)</f>
        <v>0</v>
      </c>
    </row>
    <row r="205" spans="1:27" s="61" customFormat="1" x14ac:dyDescent="0.25">
      <c r="B205" s="96"/>
      <c r="C205" s="97"/>
      <c r="D205" s="97"/>
      <c r="E205" s="96"/>
      <c r="F205" s="66"/>
      <c r="G205" s="66"/>
      <c r="H205" s="66"/>
      <c r="I205" s="98"/>
      <c r="J205" s="98"/>
      <c r="K205" s="98"/>
      <c r="L205" s="98"/>
      <c r="M205" s="98"/>
      <c r="N205" s="98"/>
      <c r="O205" s="96"/>
      <c r="P205" s="96"/>
      <c r="Q205" s="15" t="e">
        <v>#N/A</v>
      </c>
      <c r="R205" s="15" t="e">
        <v>#N/A</v>
      </c>
      <c r="S205" s="15"/>
      <c r="T205" s="100"/>
      <c r="U205" s="15"/>
      <c r="V205" s="15"/>
      <c r="W205" s="15"/>
      <c r="X205" s="96"/>
      <c r="Y205" s="69">
        <f ca="1">Table24[[#This Row],[End Date]]+2-TODAY()</f>
        <v>-45775</v>
      </c>
      <c r="Z205" s="15">
        <f>IF(ISBLANK(Table24[[#This Row],[Roster Received By]]),1,0)</f>
        <v>1</v>
      </c>
      <c r="AA205" s="15">
        <f ca="1">IF(Table24[[#This Row],[Start Date]]&gt;TODAY(),1,)</f>
        <v>0</v>
      </c>
    </row>
    <row r="206" spans="1:27" s="61" customFormat="1" x14ac:dyDescent="0.25">
      <c r="B206" s="96"/>
      <c r="C206" s="97"/>
      <c r="D206" s="97"/>
      <c r="E206" s="96"/>
      <c r="F206" s="99"/>
      <c r="G206" s="99"/>
      <c r="H206" s="102"/>
      <c r="I206" s="102"/>
      <c r="J206" s="102"/>
      <c r="K206" s="102"/>
      <c r="L206" s="102"/>
      <c r="M206" s="102"/>
      <c r="N206" s="102"/>
      <c r="O206" s="96"/>
      <c r="P206" s="96"/>
      <c r="Q206" s="15" t="e">
        <v>#N/A</v>
      </c>
      <c r="R206" s="15" t="e">
        <v>#N/A</v>
      </c>
      <c r="S206" s="15"/>
      <c r="T206" s="100"/>
      <c r="U206" s="15"/>
      <c r="V206" s="15"/>
      <c r="W206" s="15"/>
      <c r="X206" s="96"/>
      <c r="Y206" s="69">
        <f ca="1">Table24[[#This Row],[End Date]]+2-TODAY()</f>
        <v>-45775</v>
      </c>
      <c r="Z206" s="15">
        <f>IF(ISBLANK(Table24[[#This Row],[Roster Received By]]),1,0)</f>
        <v>1</v>
      </c>
      <c r="AA206" s="15">
        <f ca="1">IF(Table24[[#This Row],[Start Date]]&gt;TODAY(),1,)</f>
        <v>0</v>
      </c>
    </row>
    <row r="207" spans="1:27" s="61" customFormat="1" x14ac:dyDescent="0.25">
      <c r="B207" s="96"/>
      <c r="C207" s="97"/>
      <c r="D207" s="97"/>
      <c r="E207" s="96"/>
      <c r="F207" s="99"/>
      <c r="G207" s="99"/>
      <c r="H207" s="102"/>
      <c r="I207" s="102"/>
      <c r="J207" s="99"/>
      <c r="K207" s="99"/>
      <c r="L207" s="99"/>
      <c r="M207" s="99"/>
      <c r="N207" s="99"/>
      <c r="O207" s="96"/>
      <c r="P207" s="96"/>
      <c r="Q207" s="15" t="e">
        <v>#N/A</v>
      </c>
      <c r="R207" s="15" t="e">
        <v>#N/A</v>
      </c>
      <c r="S207" s="15"/>
      <c r="T207" s="100"/>
      <c r="U207" s="15"/>
      <c r="V207" s="15"/>
      <c r="W207" s="15"/>
      <c r="X207" s="96"/>
      <c r="Y207" s="69">
        <f ca="1">Table24[[#This Row],[End Date]]+2-TODAY()</f>
        <v>-45775</v>
      </c>
      <c r="Z207" s="15">
        <f>IF(ISBLANK(Table24[[#This Row],[Roster Received By]]),1,0)</f>
        <v>1</v>
      </c>
      <c r="AA207" s="15">
        <f ca="1">IF(Table24[[#This Row],[Start Date]]&gt;TODAY(),1,)</f>
        <v>0</v>
      </c>
    </row>
    <row r="208" spans="1:27" s="61" customFormat="1" x14ac:dyDescent="0.25">
      <c r="B208" s="96"/>
      <c r="C208" s="97"/>
      <c r="D208" s="97"/>
      <c r="E208" s="64"/>
      <c r="F208" s="99"/>
      <c r="G208" s="99"/>
      <c r="H208" s="102"/>
      <c r="I208" s="102"/>
      <c r="J208" s="99"/>
      <c r="K208" s="99"/>
      <c r="L208" s="99"/>
      <c r="M208" s="99"/>
      <c r="N208" s="99"/>
      <c r="O208" s="96"/>
      <c r="P208" s="96"/>
      <c r="Q208" s="15" t="e">
        <v>#N/A</v>
      </c>
      <c r="R208" s="15" t="e">
        <v>#N/A</v>
      </c>
      <c r="S208" s="15"/>
      <c r="T208" s="100"/>
      <c r="U208" s="15"/>
      <c r="V208" s="15"/>
      <c r="W208" s="97"/>
      <c r="X208" s="96"/>
      <c r="Y208" s="69">
        <f ca="1">Table24[[#This Row],[End Date]]+2-TODAY()</f>
        <v>-45775</v>
      </c>
      <c r="Z208" s="15">
        <f>IF(ISBLANK(Table24[[#This Row],[Roster Received By]]),1,0)</f>
        <v>1</v>
      </c>
      <c r="AA208" s="15">
        <f ca="1">IF(Table24[[#This Row],[Start Date]]&gt;TODAY(),1,)</f>
        <v>0</v>
      </c>
    </row>
    <row r="209" spans="2:27" s="61" customFormat="1" x14ac:dyDescent="0.25">
      <c r="B209" s="96"/>
      <c r="C209" s="97"/>
      <c r="D209" s="97"/>
      <c r="E209" s="64"/>
      <c r="F209" s="99"/>
      <c r="G209" s="99"/>
      <c r="H209" s="102"/>
      <c r="I209" s="102"/>
      <c r="J209" s="99"/>
      <c r="K209" s="99"/>
      <c r="L209" s="99"/>
      <c r="M209" s="99"/>
      <c r="N209" s="99"/>
      <c r="O209" s="96"/>
      <c r="P209" s="96"/>
      <c r="Q209" s="15" t="e">
        <v>#N/A</v>
      </c>
      <c r="R209" s="15" t="e">
        <v>#N/A</v>
      </c>
      <c r="S209" s="15"/>
      <c r="T209" s="100"/>
      <c r="U209" s="15"/>
      <c r="V209" s="15"/>
      <c r="W209" s="15"/>
      <c r="X209" s="96"/>
      <c r="Y209" s="69">
        <f ca="1">Table24[[#This Row],[End Date]]+2-TODAY()</f>
        <v>-45775</v>
      </c>
      <c r="Z209" s="15">
        <f>IF(ISBLANK(Table24[[#This Row],[Roster Received By]]),1,0)</f>
        <v>1</v>
      </c>
      <c r="AA209" s="15">
        <f ca="1">IF(Table24[[#This Row],[Start Date]]&gt;TODAY(),1,)</f>
        <v>0</v>
      </c>
    </row>
    <row r="210" spans="2:27" s="61" customFormat="1" x14ac:dyDescent="0.25">
      <c r="B210" s="96"/>
      <c r="C210" s="97" t="e">
        <v>#N/A</v>
      </c>
      <c r="D210" s="97" t="e">
        <v>#N/A</v>
      </c>
      <c r="E210" s="64"/>
      <c r="F210" s="99"/>
      <c r="G210" s="99"/>
      <c r="H210" s="102"/>
      <c r="I210" s="102"/>
      <c r="J210" s="99"/>
      <c r="K210" s="99"/>
      <c r="L210" s="99"/>
      <c r="M210" s="99"/>
      <c r="N210" s="99"/>
      <c r="O210" s="96"/>
      <c r="P210" s="96"/>
      <c r="Q210" s="15" t="e">
        <v>#N/A</v>
      </c>
      <c r="R210" s="15" t="e">
        <v>#N/A</v>
      </c>
      <c r="S210" s="15"/>
      <c r="T210" s="100"/>
      <c r="U210" s="15"/>
      <c r="V210" s="15"/>
      <c r="W210" s="15"/>
      <c r="X210" s="96"/>
      <c r="Y210" s="69">
        <f ca="1">Table24[[#This Row],[End Date]]+2-TODAY()</f>
        <v>-45775</v>
      </c>
      <c r="Z210" s="15">
        <f>IF(ISBLANK(Table24[[#This Row],[Roster Received By]]),1,0)</f>
        <v>1</v>
      </c>
      <c r="AA210" s="15">
        <f ca="1">IF(Table24[[#This Row],[Start Date]]&gt;TODAY(),1,)</f>
        <v>0</v>
      </c>
    </row>
    <row r="211" spans="2:27" s="61" customFormat="1" x14ac:dyDescent="0.25">
      <c r="B211" s="96"/>
      <c r="C211" s="97" t="e">
        <v>#N/A</v>
      </c>
      <c r="D211" s="97" t="e">
        <v>#N/A</v>
      </c>
      <c r="E211" s="96"/>
      <c r="F211" s="99"/>
      <c r="G211" s="99"/>
      <c r="H211" s="102"/>
      <c r="I211" s="102"/>
      <c r="J211" s="99"/>
      <c r="K211" s="99"/>
      <c r="L211" s="99"/>
      <c r="M211" s="99"/>
      <c r="N211" s="99"/>
      <c r="O211" s="96"/>
      <c r="P211" s="96"/>
      <c r="Q211" s="15" t="e">
        <v>#N/A</v>
      </c>
      <c r="R211" s="15" t="e">
        <v>#N/A</v>
      </c>
      <c r="S211" s="15"/>
      <c r="T211" s="100"/>
      <c r="U211" s="15"/>
      <c r="V211" s="15"/>
      <c r="W211" s="15"/>
      <c r="X211" s="96"/>
      <c r="Y211" s="69">
        <f ca="1">Table24[[#This Row],[End Date]]+2-TODAY()</f>
        <v>-45775</v>
      </c>
      <c r="Z211" s="15">
        <f>IF(ISBLANK(Table24[[#This Row],[Roster Received By]]),1,0)</f>
        <v>1</v>
      </c>
      <c r="AA211" s="15">
        <f ca="1">IF(Table24[[#This Row],[Start Date]]&gt;TODAY(),1,)</f>
        <v>0</v>
      </c>
    </row>
    <row r="212" spans="2:27" s="61" customFormat="1" x14ac:dyDescent="0.25">
      <c r="B212" s="96"/>
      <c r="C212" s="97" t="e">
        <v>#N/A</v>
      </c>
      <c r="D212" s="97" t="e">
        <v>#N/A</v>
      </c>
      <c r="E212" s="96"/>
      <c r="F212" s="99"/>
      <c r="G212" s="99"/>
      <c r="H212" s="102"/>
      <c r="I212" s="102"/>
      <c r="J212" s="99"/>
      <c r="K212" s="99"/>
      <c r="L212" s="99"/>
      <c r="M212" s="99"/>
      <c r="N212" s="99"/>
      <c r="O212" s="96"/>
      <c r="P212" s="96"/>
      <c r="Q212" s="15" t="e">
        <v>#N/A</v>
      </c>
      <c r="R212" s="15" t="e">
        <v>#N/A</v>
      </c>
      <c r="S212" s="15"/>
      <c r="T212" s="100"/>
      <c r="U212" s="15"/>
      <c r="V212" s="15"/>
      <c r="W212" s="15"/>
      <c r="X212" s="96"/>
      <c r="Y212" s="69">
        <f ca="1">Table24[[#This Row],[End Date]]+2-TODAY()</f>
        <v>-45775</v>
      </c>
      <c r="Z212" s="15">
        <f>IF(ISBLANK(Table24[[#This Row],[Roster Received By]]),1,0)</f>
        <v>1</v>
      </c>
      <c r="AA212" s="15">
        <f ca="1">IF(Table24[[#This Row],[Start Date]]&gt;TODAY(),1,)</f>
        <v>0</v>
      </c>
    </row>
    <row r="213" spans="2:27" s="61" customFormat="1" x14ac:dyDescent="0.25">
      <c r="B213" s="96"/>
      <c r="C213" s="97" t="e">
        <v>#N/A</v>
      </c>
      <c r="D213" s="97" t="e">
        <v>#N/A</v>
      </c>
      <c r="E213" s="96"/>
      <c r="F213" s="99"/>
      <c r="G213" s="99"/>
      <c r="H213" s="102"/>
      <c r="I213" s="102"/>
      <c r="J213" s="99"/>
      <c r="K213" s="99"/>
      <c r="L213" s="99"/>
      <c r="M213" s="99"/>
      <c r="N213" s="99"/>
      <c r="O213" s="96"/>
      <c r="P213" s="96"/>
      <c r="Q213" s="15" t="e">
        <v>#N/A</v>
      </c>
      <c r="R213" s="15" t="e">
        <v>#N/A</v>
      </c>
      <c r="S213" s="100"/>
      <c r="T213" s="100"/>
      <c r="U213" s="15"/>
      <c r="V213" s="15"/>
      <c r="W213" s="15"/>
      <c r="X213" s="96"/>
      <c r="Y213" s="69">
        <f ca="1">Table24[[#This Row],[End Date]]+2-TODAY()</f>
        <v>-45775</v>
      </c>
      <c r="Z213" s="15">
        <f>IF(ISBLANK(Table24[[#This Row],[Roster Received By]]),1,0)</f>
        <v>1</v>
      </c>
      <c r="AA213" s="15">
        <f ca="1">IF(Table24[[#This Row],[Start Date]]&gt;TODAY(),1,)</f>
        <v>0</v>
      </c>
    </row>
    <row r="214" spans="2:27" s="61" customFormat="1" x14ac:dyDescent="0.25">
      <c r="B214" s="96"/>
      <c r="C214" s="97" t="e">
        <v>#N/A</v>
      </c>
      <c r="D214" s="97" t="e">
        <v>#N/A</v>
      </c>
      <c r="E214" s="96"/>
      <c r="F214" s="99"/>
      <c r="G214" s="99"/>
      <c r="H214" s="102"/>
      <c r="I214" s="102"/>
      <c r="J214" s="102"/>
      <c r="K214" s="102"/>
      <c r="L214" s="102"/>
      <c r="M214" s="102"/>
      <c r="N214" s="99"/>
      <c r="O214" s="96"/>
      <c r="P214" s="96"/>
      <c r="Q214" s="15" t="e">
        <v>#N/A</v>
      </c>
      <c r="R214" s="15" t="e">
        <v>#N/A</v>
      </c>
      <c r="S214" s="15"/>
      <c r="T214" s="100"/>
      <c r="U214" s="15"/>
      <c r="V214" s="15"/>
      <c r="W214" s="15"/>
      <c r="X214" s="96"/>
      <c r="Y214" s="69">
        <f ca="1">Table24[[#This Row],[End Date]]+2-TODAY()</f>
        <v>-45775</v>
      </c>
      <c r="Z214" s="15">
        <f>IF(ISBLANK(Table24[[#This Row],[Roster Received By]]),1,0)</f>
        <v>1</v>
      </c>
      <c r="AA214" s="15">
        <f ca="1">IF(Table24[[#This Row],[Start Date]]&gt;TODAY(),1,)</f>
        <v>0</v>
      </c>
    </row>
    <row r="215" spans="2:27" s="61" customFormat="1" x14ac:dyDescent="0.25">
      <c r="B215" s="96"/>
      <c r="C215" s="97" t="e">
        <v>#N/A</v>
      </c>
      <c r="D215" s="97" t="e">
        <v>#N/A</v>
      </c>
      <c r="E215" s="96"/>
      <c r="F215" s="99"/>
      <c r="G215" s="99"/>
      <c r="H215" s="99"/>
      <c r="I215" s="98"/>
      <c r="J215" s="98"/>
      <c r="K215" s="98"/>
      <c r="L215" s="98"/>
      <c r="M215" s="98"/>
      <c r="N215" s="98"/>
      <c r="O215" s="96"/>
      <c r="P215" s="96"/>
      <c r="Q215" s="15" t="e">
        <v>#N/A</v>
      </c>
      <c r="R215" s="15" t="e">
        <v>#N/A</v>
      </c>
      <c r="S215" s="15"/>
      <c r="T215" s="100"/>
      <c r="U215" s="15"/>
      <c r="V215" s="15"/>
      <c r="W215" s="15"/>
      <c r="X215" s="96"/>
      <c r="Y215" s="69">
        <f ca="1">Table24[[#This Row],[End Date]]+2-TODAY()</f>
        <v>-45775</v>
      </c>
      <c r="Z215" s="15">
        <f>IF(ISBLANK(Table24[[#This Row],[Roster Received By]]),1,0)</f>
        <v>1</v>
      </c>
      <c r="AA215" s="15">
        <f ca="1">IF(Table24[[#This Row],[Start Date]]&gt;TODAY(),1,)</f>
        <v>0</v>
      </c>
    </row>
    <row r="216" spans="2:27" s="61" customFormat="1" x14ac:dyDescent="0.25">
      <c r="B216" s="96"/>
      <c r="C216" s="97" t="e">
        <v>#N/A</v>
      </c>
      <c r="D216" s="97" t="e">
        <v>#N/A</v>
      </c>
      <c r="E216" s="64"/>
      <c r="F216" s="99"/>
      <c r="G216" s="99"/>
      <c r="H216" s="102"/>
      <c r="I216" s="102"/>
      <c r="J216" s="99"/>
      <c r="K216" s="99"/>
      <c r="L216" s="99"/>
      <c r="M216" s="99"/>
      <c r="N216" s="99"/>
      <c r="O216" s="96"/>
      <c r="P216" s="96"/>
      <c r="Q216" s="15" t="e">
        <v>#N/A</v>
      </c>
      <c r="R216" s="15" t="e">
        <v>#N/A</v>
      </c>
      <c r="S216" s="15"/>
      <c r="T216" s="100"/>
      <c r="U216" s="15"/>
      <c r="V216" s="15"/>
      <c r="W216" s="15"/>
      <c r="X216" s="96"/>
      <c r="Y216" s="69">
        <f ca="1">Table24[[#This Row],[End Date]]+2-TODAY()</f>
        <v>-45775</v>
      </c>
      <c r="Z216" s="15">
        <f>IF(ISBLANK(Table24[[#This Row],[Roster Received By]]),1,0)</f>
        <v>1</v>
      </c>
      <c r="AA216" s="15">
        <f ca="1">IF(Table24[[#This Row],[Start Date]]&gt;TODAY(),1,)</f>
        <v>0</v>
      </c>
    </row>
    <row r="217" spans="2:27" s="61" customFormat="1" x14ac:dyDescent="0.25">
      <c r="B217" s="96"/>
      <c r="C217" s="97" t="e">
        <v>#N/A</v>
      </c>
      <c r="D217" s="97" t="e">
        <v>#N/A</v>
      </c>
      <c r="E217" s="96"/>
      <c r="F217" s="99"/>
      <c r="G217" s="99"/>
      <c r="H217" s="102"/>
      <c r="I217" s="102"/>
      <c r="J217" s="131"/>
      <c r="K217" s="131"/>
      <c r="L217" s="131"/>
      <c r="M217" s="131"/>
      <c r="N217" s="99"/>
      <c r="O217" s="96"/>
      <c r="P217" s="96"/>
      <c r="Q217" s="15" t="e">
        <v>#N/A</v>
      </c>
      <c r="R217" s="15" t="e">
        <v>#N/A</v>
      </c>
      <c r="S217" s="15"/>
      <c r="T217" s="100"/>
      <c r="U217" s="15"/>
      <c r="V217" s="15"/>
      <c r="W217" s="104"/>
      <c r="X217" s="96"/>
      <c r="Y217" s="69">
        <f ca="1">Table24[[#This Row],[End Date]]+2-TODAY()</f>
        <v>-45775</v>
      </c>
      <c r="Z217" s="15">
        <f>IF(ISBLANK(Table24[[#This Row],[Roster Received By]]),1,0)</f>
        <v>1</v>
      </c>
      <c r="AA217" s="15">
        <f ca="1">IF(Table24[[#This Row],[Start Date]]&gt;TODAY(),1,)</f>
        <v>0</v>
      </c>
    </row>
    <row r="218" spans="2:27" s="61" customFormat="1" x14ac:dyDescent="0.25">
      <c r="B218" s="96"/>
      <c r="C218" s="97" t="e">
        <v>#N/A</v>
      </c>
      <c r="D218" s="97" t="e">
        <v>#N/A</v>
      </c>
      <c r="E218" s="96"/>
      <c r="F218" s="99"/>
      <c r="G218" s="99"/>
      <c r="H218" s="99"/>
      <c r="I218" s="98"/>
      <c r="J218" s="98"/>
      <c r="K218" s="98"/>
      <c r="L218" s="98"/>
      <c r="M218" s="98"/>
      <c r="N218" s="98"/>
      <c r="O218" s="96"/>
      <c r="P218" s="96"/>
      <c r="Q218" s="15" t="e">
        <v>#N/A</v>
      </c>
      <c r="R218" s="15" t="e">
        <v>#N/A</v>
      </c>
      <c r="S218" s="15"/>
      <c r="T218" s="100"/>
      <c r="U218" s="15"/>
      <c r="V218" s="15"/>
      <c r="W218" s="15"/>
      <c r="X218" s="96"/>
      <c r="Y218" s="69">
        <f ca="1">Table24[[#This Row],[End Date]]+2-TODAY()</f>
        <v>-45775</v>
      </c>
      <c r="Z218" s="15">
        <f>IF(ISBLANK(Table24[[#This Row],[Roster Received By]]),1,0)</f>
        <v>1</v>
      </c>
      <c r="AA218" s="15">
        <f ca="1">IF(Table24[[#This Row],[Start Date]]&gt;TODAY(),1,)</f>
        <v>0</v>
      </c>
    </row>
    <row r="219" spans="2:27" s="61" customFormat="1" x14ac:dyDescent="0.25">
      <c r="B219" s="96"/>
      <c r="C219" s="97" t="e">
        <v>#N/A</v>
      </c>
      <c r="D219" s="97" t="e">
        <v>#N/A</v>
      </c>
      <c r="E219" s="96"/>
      <c r="F219" s="99"/>
      <c r="G219" s="99"/>
      <c r="H219" s="99"/>
      <c r="I219" s="98"/>
      <c r="J219" s="98"/>
      <c r="K219" s="98"/>
      <c r="L219" s="98"/>
      <c r="M219" s="98"/>
      <c r="N219" s="98"/>
      <c r="O219" s="96"/>
      <c r="P219" s="96"/>
      <c r="Q219" s="15" t="e">
        <v>#N/A</v>
      </c>
      <c r="R219" s="15" t="e">
        <v>#N/A</v>
      </c>
      <c r="S219" s="15"/>
      <c r="T219" s="100"/>
      <c r="U219" s="15"/>
      <c r="V219" s="15"/>
      <c r="W219" s="15"/>
      <c r="X219" s="96"/>
      <c r="Y219" s="69">
        <f ca="1">Table24[[#This Row],[End Date]]+2-TODAY()</f>
        <v>-45775</v>
      </c>
      <c r="Z219" s="15">
        <f>IF(ISBLANK(Table24[[#This Row],[Roster Received By]]),1,0)</f>
        <v>1</v>
      </c>
      <c r="AA219" s="15">
        <f ca="1">IF(Table24[[#This Row],[Start Date]]&gt;TODAY(),1,)</f>
        <v>0</v>
      </c>
    </row>
    <row r="220" spans="2:27" s="61" customFormat="1" x14ac:dyDescent="0.25">
      <c r="B220" s="96"/>
      <c r="C220" s="97" t="e">
        <v>#N/A</v>
      </c>
      <c r="D220" s="97" t="e">
        <v>#N/A</v>
      </c>
      <c r="E220" s="96"/>
      <c r="F220" s="99"/>
      <c r="G220" s="99"/>
      <c r="H220" s="99"/>
      <c r="I220" s="98"/>
      <c r="J220" s="98"/>
      <c r="K220" s="98"/>
      <c r="L220" s="98"/>
      <c r="M220" s="98"/>
      <c r="N220" s="98"/>
      <c r="O220" s="96"/>
      <c r="P220" s="96"/>
      <c r="Q220" s="15" t="e">
        <v>#N/A</v>
      </c>
      <c r="R220" s="15" t="e">
        <v>#N/A</v>
      </c>
      <c r="S220" s="15"/>
      <c r="T220" s="100"/>
      <c r="U220" s="15"/>
      <c r="V220" s="15"/>
      <c r="W220" s="15"/>
      <c r="X220" s="96"/>
      <c r="Y220" s="69">
        <f ca="1">Table24[[#This Row],[End Date]]+2-TODAY()</f>
        <v>-45775</v>
      </c>
      <c r="Z220" s="15">
        <f>IF(ISBLANK(Table24[[#This Row],[Roster Received By]]),1,0)</f>
        <v>1</v>
      </c>
      <c r="AA220" s="15">
        <f ca="1">IF(Table24[[#This Row],[Start Date]]&gt;TODAY(),1,)</f>
        <v>0</v>
      </c>
    </row>
    <row r="221" spans="2:27" s="61" customFormat="1" x14ac:dyDescent="0.25">
      <c r="B221" s="96"/>
      <c r="C221" s="97" t="e">
        <v>#N/A</v>
      </c>
      <c r="D221" s="97" t="e">
        <v>#N/A</v>
      </c>
      <c r="E221" s="64"/>
      <c r="F221" s="99"/>
      <c r="G221" s="99"/>
      <c r="H221" s="105"/>
      <c r="I221" s="105"/>
      <c r="J221" s="99"/>
      <c r="K221" s="99"/>
      <c r="L221" s="99"/>
      <c r="M221" s="99"/>
      <c r="N221" s="99"/>
      <c r="O221" s="96"/>
      <c r="P221" s="96"/>
      <c r="Q221" s="15" t="e">
        <v>#N/A</v>
      </c>
      <c r="R221" s="15" t="e">
        <v>#N/A</v>
      </c>
      <c r="S221" s="15"/>
      <c r="T221" s="100"/>
      <c r="U221" s="15"/>
      <c r="V221" s="15"/>
      <c r="W221" s="100"/>
      <c r="X221" s="96"/>
      <c r="Y221" s="69">
        <f ca="1">Table24[[#This Row],[End Date]]+2-TODAY()</f>
        <v>-45775</v>
      </c>
      <c r="Z221" s="15">
        <f>IF(ISBLANK(Table24[[#This Row],[Roster Received By]]),1,0)</f>
        <v>1</v>
      </c>
      <c r="AA221" s="15">
        <f ca="1">IF(Table24[[#This Row],[Start Date]]&gt;TODAY(),1,)</f>
        <v>0</v>
      </c>
    </row>
    <row r="222" spans="2:27" s="61" customFormat="1" x14ac:dyDescent="0.25">
      <c r="B222" s="96"/>
      <c r="C222" s="97" t="e">
        <v>#N/A</v>
      </c>
      <c r="D222" s="97" t="e">
        <v>#N/A</v>
      </c>
      <c r="E222" s="96"/>
      <c r="F222" s="99"/>
      <c r="G222" s="99"/>
      <c r="H222" s="99"/>
      <c r="I222" s="98"/>
      <c r="J222" s="98"/>
      <c r="K222" s="98"/>
      <c r="L222" s="98"/>
      <c r="M222" s="98"/>
      <c r="N222" s="98"/>
      <c r="O222" s="96"/>
      <c r="P222" s="96"/>
      <c r="Q222" s="15" t="e">
        <v>#N/A</v>
      </c>
      <c r="R222" s="15" t="e">
        <v>#N/A</v>
      </c>
      <c r="S222" s="15"/>
      <c r="T222" s="100"/>
      <c r="U222" s="15"/>
      <c r="V222" s="15"/>
      <c r="W222" s="15"/>
      <c r="X222" s="96"/>
      <c r="Y222" s="69">
        <f ca="1">Table24[[#This Row],[End Date]]+2-TODAY()</f>
        <v>-45775</v>
      </c>
      <c r="Z222" s="15">
        <f>IF(ISBLANK(Table24[[#This Row],[Roster Received By]]),1,0)</f>
        <v>1</v>
      </c>
      <c r="AA222" s="15">
        <f ca="1">IF(Table24[[#This Row],[Start Date]]&gt;TODAY(),1,)</f>
        <v>0</v>
      </c>
    </row>
    <row r="223" spans="2:27" s="61" customFormat="1" x14ac:dyDescent="0.25">
      <c r="B223" s="96"/>
      <c r="C223" s="97" t="e">
        <v>#N/A</v>
      </c>
      <c r="D223" s="97" t="e">
        <v>#N/A</v>
      </c>
      <c r="E223" s="96"/>
      <c r="F223" s="99"/>
      <c r="G223" s="99"/>
      <c r="H223" s="99"/>
      <c r="I223" s="98"/>
      <c r="J223" s="98"/>
      <c r="K223" s="98"/>
      <c r="L223" s="98"/>
      <c r="M223" s="98"/>
      <c r="N223" s="98"/>
      <c r="O223" s="96"/>
      <c r="P223" s="96"/>
      <c r="Q223" s="15" t="e">
        <v>#N/A</v>
      </c>
      <c r="R223" s="15" t="e">
        <v>#N/A</v>
      </c>
      <c r="S223" s="15"/>
      <c r="T223" s="100"/>
      <c r="U223" s="15"/>
      <c r="V223" s="15"/>
      <c r="W223" s="101"/>
      <c r="X223" s="96"/>
      <c r="Y223" s="69">
        <f ca="1">Table24[[#This Row],[End Date]]+2-TODAY()</f>
        <v>-45775</v>
      </c>
      <c r="Z223" s="15">
        <f>IF(ISBLANK(Table24[[#This Row],[Roster Received By]]),1,0)</f>
        <v>1</v>
      </c>
      <c r="AA223" s="15">
        <f ca="1">IF(Table24[[#This Row],[Start Date]]&gt;TODAY(),1,)</f>
        <v>0</v>
      </c>
    </row>
    <row r="224" spans="2:27" s="61" customFormat="1" x14ac:dyDescent="0.25">
      <c r="B224" s="96"/>
      <c r="C224" s="97" t="e">
        <v>#N/A</v>
      </c>
      <c r="D224" s="97" t="e">
        <v>#N/A</v>
      </c>
      <c r="E224" s="64"/>
      <c r="F224" s="99"/>
      <c r="G224" s="99"/>
      <c r="H224" s="102"/>
      <c r="I224" s="102"/>
      <c r="J224" s="99"/>
      <c r="K224" s="99"/>
      <c r="L224" s="99"/>
      <c r="M224" s="99"/>
      <c r="N224" s="99"/>
      <c r="O224" s="96"/>
      <c r="P224" s="96"/>
      <c r="Q224" s="15" t="e">
        <v>#N/A</v>
      </c>
      <c r="R224" s="15" t="e">
        <v>#N/A</v>
      </c>
      <c r="S224" s="15"/>
      <c r="T224" s="100"/>
      <c r="U224" s="15"/>
      <c r="V224" s="15"/>
      <c r="W224" s="97"/>
      <c r="X224" s="96"/>
      <c r="Y224" s="69">
        <f ca="1">Table24[[#This Row],[End Date]]+2-TODAY()</f>
        <v>-45775</v>
      </c>
      <c r="Z224" s="15">
        <f>IF(ISBLANK(Table24[[#This Row],[Roster Received By]]),1,0)</f>
        <v>1</v>
      </c>
      <c r="AA224" s="15">
        <f ca="1">IF(Table24[[#This Row],[Start Date]]&gt;TODAY(),1,)</f>
        <v>0</v>
      </c>
    </row>
    <row r="225" spans="1:27" s="110" customFormat="1" x14ac:dyDescent="0.25">
      <c r="A225" s="61"/>
      <c r="B225" s="96"/>
      <c r="C225" s="97" t="e">
        <v>#N/A</v>
      </c>
      <c r="D225" s="97" t="e">
        <v>#N/A</v>
      </c>
      <c r="E225" s="96"/>
      <c r="F225" s="99"/>
      <c r="G225" s="99"/>
      <c r="H225" s="99"/>
      <c r="I225" s="98"/>
      <c r="J225" s="98"/>
      <c r="K225" s="98"/>
      <c r="L225" s="98"/>
      <c r="M225" s="98"/>
      <c r="N225" s="98"/>
      <c r="O225" s="96"/>
      <c r="P225" s="96"/>
      <c r="Q225" s="15" t="e">
        <v>#N/A</v>
      </c>
      <c r="R225" s="15" t="e">
        <v>#N/A</v>
      </c>
      <c r="S225" s="15"/>
      <c r="T225" s="100"/>
      <c r="U225" s="15"/>
      <c r="V225" s="15"/>
      <c r="W225" s="15"/>
      <c r="X225" s="96"/>
      <c r="Y225" s="69">
        <f ca="1">Table24[[#This Row],[End Date]]+2-TODAY()</f>
        <v>-45775</v>
      </c>
      <c r="Z225" s="15">
        <f>IF(ISBLANK(Table24[[#This Row],[Roster Received By]]),1,0)</f>
        <v>1</v>
      </c>
      <c r="AA225" s="15">
        <f ca="1">IF(Table24[[#This Row],[Start Date]]&gt;TODAY(),1,)</f>
        <v>0</v>
      </c>
    </row>
    <row r="226" spans="1:27" s="61" customFormat="1" x14ac:dyDescent="0.25">
      <c r="A226" s="96"/>
      <c r="B226" s="96"/>
      <c r="C226" s="97" t="e">
        <v>#N/A</v>
      </c>
      <c r="D226" s="97" t="e">
        <v>#N/A</v>
      </c>
      <c r="E226" s="64"/>
      <c r="F226" s="99"/>
      <c r="G226" s="99"/>
      <c r="H226" s="102"/>
      <c r="I226" s="102"/>
      <c r="J226" s="99"/>
      <c r="K226" s="99"/>
      <c r="L226" s="99"/>
      <c r="M226" s="99"/>
      <c r="N226" s="99"/>
      <c r="O226" s="96"/>
      <c r="P226" s="96"/>
      <c r="Q226" s="15" t="e">
        <v>#N/A</v>
      </c>
      <c r="R226" s="15" t="e">
        <v>#N/A</v>
      </c>
      <c r="S226" s="15"/>
      <c r="T226" s="100"/>
      <c r="U226" s="15"/>
      <c r="V226" s="15"/>
      <c r="W226" s="97"/>
      <c r="X226" s="96"/>
      <c r="Y226" s="69">
        <f ca="1">Table24[[#This Row],[End Date]]+2-TODAY()</f>
        <v>-45775</v>
      </c>
      <c r="Z226" s="15">
        <f>IF(ISBLANK(Table24[[#This Row],[Roster Received By]]),1,0)</f>
        <v>1</v>
      </c>
      <c r="AA226" s="15">
        <f ca="1">IF(Table24[[#This Row],[Start Date]]&gt;TODAY(),1,)</f>
        <v>0</v>
      </c>
    </row>
    <row r="227" spans="1:27" s="61" customFormat="1" x14ac:dyDescent="0.25">
      <c r="B227" s="96"/>
      <c r="C227" s="97" t="e">
        <v>#N/A</v>
      </c>
      <c r="D227" s="97" t="e">
        <v>#N/A</v>
      </c>
      <c r="E227" s="96"/>
      <c r="F227" s="99"/>
      <c r="G227" s="99"/>
      <c r="H227" s="102"/>
      <c r="I227" s="102"/>
      <c r="J227" s="99"/>
      <c r="K227" s="99"/>
      <c r="L227" s="99"/>
      <c r="M227" s="99"/>
      <c r="N227" s="99"/>
      <c r="O227" s="96"/>
      <c r="P227" s="96"/>
      <c r="Q227" s="15" t="e">
        <v>#N/A</v>
      </c>
      <c r="R227" s="15" t="e">
        <v>#N/A</v>
      </c>
      <c r="S227" s="15"/>
      <c r="T227" s="100"/>
      <c r="U227" s="15"/>
      <c r="V227" s="15"/>
      <c r="W227" s="97"/>
      <c r="X227" s="96"/>
      <c r="Y227" s="69">
        <f ca="1">Table24[[#This Row],[End Date]]+2-TODAY()</f>
        <v>-45775</v>
      </c>
      <c r="Z227" s="15">
        <f>IF(ISBLANK(Table24[[#This Row],[Roster Received By]]),1,0)</f>
        <v>1</v>
      </c>
      <c r="AA227" s="15">
        <f ca="1">IF(Table24[[#This Row],[Start Date]]&gt;TODAY(),1,)</f>
        <v>0</v>
      </c>
    </row>
    <row r="228" spans="1:27" s="61" customFormat="1" x14ac:dyDescent="0.25">
      <c r="B228" s="96"/>
      <c r="C228" s="97" t="e">
        <v>#N/A</v>
      </c>
      <c r="D228" s="97" t="e">
        <v>#N/A</v>
      </c>
      <c r="E228" s="96"/>
      <c r="F228" s="99"/>
      <c r="G228" s="99"/>
      <c r="H228" s="99"/>
      <c r="I228" s="98"/>
      <c r="J228" s="98"/>
      <c r="K228" s="98"/>
      <c r="L228" s="98"/>
      <c r="M228" s="98"/>
      <c r="N228" s="98"/>
      <c r="O228" s="96"/>
      <c r="P228" s="96"/>
      <c r="Q228" s="15" t="e">
        <v>#N/A</v>
      </c>
      <c r="R228" s="15" t="e">
        <v>#N/A</v>
      </c>
      <c r="S228" s="15"/>
      <c r="T228" s="100"/>
      <c r="U228" s="15"/>
      <c r="V228" s="15"/>
      <c r="W228" s="15"/>
      <c r="X228" s="96"/>
      <c r="Y228" s="69">
        <f ca="1">Table24[[#This Row],[End Date]]+2-TODAY()</f>
        <v>-45775</v>
      </c>
      <c r="Z228" s="15">
        <f>IF(ISBLANK(Table24[[#This Row],[Roster Received By]]),1,0)</f>
        <v>1</v>
      </c>
      <c r="AA228" s="15">
        <f ca="1">IF(Table24[[#This Row],[Start Date]]&gt;TODAY(),1,)</f>
        <v>0</v>
      </c>
    </row>
    <row r="229" spans="1:27" s="61" customFormat="1" x14ac:dyDescent="0.25">
      <c r="B229" s="96"/>
      <c r="C229" s="97" t="e">
        <v>#N/A</v>
      </c>
      <c r="D229" s="97" t="e">
        <v>#N/A</v>
      </c>
      <c r="E229" s="96"/>
      <c r="F229" s="99"/>
      <c r="G229" s="99"/>
      <c r="H229" s="102"/>
      <c r="I229" s="102"/>
      <c r="J229" s="102"/>
      <c r="K229" s="102"/>
      <c r="L229" s="102"/>
      <c r="M229" s="102"/>
      <c r="N229" s="99"/>
      <c r="O229" s="96"/>
      <c r="P229" s="96"/>
      <c r="Q229" s="15" t="e">
        <v>#N/A</v>
      </c>
      <c r="R229" s="15" t="e">
        <v>#N/A</v>
      </c>
      <c r="S229" s="15"/>
      <c r="T229" s="100"/>
      <c r="U229" s="15"/>
      <c r="V229" s="15"/>
      <c r="W229" s="15"/>
      <c r="X229" s="96"/>
      <c r="Y229" s="69">
        <f ca="1">Table24[[#This Row],[End Date]]+2-TODAY()</f>
        <v>-45775</v>
      </c>
      <c r="Z229" s="15">
        <f>IF(ISBLANK(Table24[[#This Row],[Roster Received By]]),1,0)</f>
        <v>1</v>
      </c>
      <c r="AA229" s="15">
        <f ca="1">IF(Table24[[#This Row],[Start Date]]&gt;TODAY(),1,)</f>
        <v>0</v>
      </c>
    </row>
    <row r="230" spans="1:27" s="61" customFormat="1" x14ac:dyDescent="0.25">
      <c r="B230" s="96"/>
      <c r="C230" s="97" t="e">
        <v>#N/A</v>
      </c>
      <c r="D230" s="97" t="e">
        <v>#N/A</v>
      </c>
      <c r="E230" s="96"/>
      <c r="F230" s="99"/>
      <c r="G230" s="99"/>
      <c r="H230" s="102"/>
      <c r="I230" s="102"/>
      <c r="J230" s="102"/>
      <c r="K230" s="102"/>
      <c r="L230" s="102"/>
      <c r="M230" s="102"/>
      <c r="N230" s="99"/>
      <c r="O230" s="96"/>
      <c r="P230" s="96"/>
      <c r="Q230" s="15" t="e">
        <v>#N/A</v>
      </c>
      <c r="R230" s="15" t="e">
        <v>#N/A</v>
      </c>
      <c r="S230" s="15"/>
      <c r="T230" s="100"/>
      <c r="U230" s="15"/>
      <c r="V230" s="15"/>
      <c r="W230" s="15"/>
      <c r="X230" s="96"/>
      <c r="Y230" s="69">
        <f ca="1">Table24[[#This Row],[End Date]]+2-TODAY()</f>
        <v>-45775</v>
      </c>
      <c r="Z230" s="15">
        <f>IF(ISBLANK(Table24[[#This Row],[Roster Received By]]),1,0)</f>
        <v>1</v>
      </c>
      <c r="AA230" s="15">
        <f ca="1">IF(Table24[[#This Row],[Start Date]]&gt;TODAY(),1,)</f>
        <v>0</v>
      </c>
    </row>
    <row r="231" spans="1:27" s="61" customFormat="1" x14ac:dyDescent="0.25">
      <c r="B231" s="96"/>
      <c r="C231" s="97" t="e">
        <v>#N/A</v>
      </c>
      <c r="D231" s="97" t="e">
        <v>#N/A</v>
      </c>
      <c r="E231" s="96"/>
      <c r="F231" s="99"/>
      <c r="G231" s="99"/>
      <c r="H231" s="99"/>
      <c r="I231" s="98"/>
      <c r="J231" s="98"/>
      <c r="K231" s="98"/>
      <c r="L231" s="98"/>
      <c r="M231" s="98"/>
      <c r="N231" s="98"/>
      <c r="O231" s="96"/>
      <c r="P231" s="96"/>
      <c r="Q231" s="15" t="e">
        <v>#N/A</v>
      </c>
      <c r="R231" s="15" t="e">
        <v>#N/A</v>
      </c>
      <c r="S231" s="15"/>
      <c r="T231" s="100"/>
      <c r="U231" s="15"/>
      <c r="V231" s="15"/>
      <c r="W231" s="15"/>
      <c r="X231" s="96"/>
      <c r="Y231" s="69">
        <f ca="1">Table24[[#This Row],[End Date]]+2-TODAY()</f>
        <v>-45775</v>
      </c>
      <c r="Z231" s="15">
        <f>IF(ISBLANK(Table24[[#This Row],[Roster Received By]]),1,0)</f>
        <v>1</v>
      </c>
      <c r="AA231" s="15">
        <f ca="1">IF(Table24[[#This Row],[Start Date]]&gt;TODAY(),1,)</f>
        <v>0</v>
      </c>
    </row>
    <row r="232" spans="1:27" s="61" customFormat="1" x14ac:dyDescent="0.25">
      <c r="B232" s="96"/>
      <c r="C232" s="97" t="e">
        <v>#N/A</v>
      </c>
      <c r="D232" s="97" t="e">
        <v>#N/A</v>
      </c>
      <c r="E232" s="96"/>
      <c r="F232" s="99"/>
      <c r="G232" s="99"/>
      <c r="H232" s="99"/>
      <c r="I232" s="98"/>
      <c r="J232" s="98"/>
      <c r="K232" s="98"/>
      <c r="L232" s="98"/>
      <c r="M232" s="98"/>
      <c r="N232" s="98"/>
      <c r="O232" s="96"/>
      <c r="P232" s="96"/>
      <c r="Q232" s="15" t="e">
        <v>#N/A</v>
      </c>
      <c r="R232" s="15" t="e">
        <v>#N/A</v>
      </c>
      <c r="S232" s="15"/>
      <c r="T232" s="100"/>
      <c r="U232" s="15"/>
      <c r="V232" s="15"/>
      <c r="W232" s="15"/>
      <c r="X232" s="96"/>
      <c r="Y232" s="69">
        <f ca="1">Table24[[#This Row],[End Date]]+2-TODAY()</f>
        <v>-45775</v>
      </c>
      <c r="Z232" s="15">
        <f>IF(ISBLANK(Table24[[#This Row],[Roster Received By]]),1,0)</f>
        <v>1</v>
      </c>
      <c r="AA232" s="15">
        <f ca="1">IF(Table24[[#This Row],[Start Date]]&gt;TODAY(),1,)</f>
        <v>0</v>
      </c>
    </row>
    <row r="233" spans="1:27" s="61" customFormat="1" x14ac:dyDescent="0.25">
      <c r="B233" s="96"/>
      <c r="C233" s="97" t="e">
        <v>#N/A</v>
      </c>
      <c r="D233" s="97" t="e">
        <v>#N/A</v>
      </c>
      <c r="E233" s="96"/>
      <c r="F233" s="99"/>
      <c r="G233" s="99"/>
      <c r="H233" s="99"/>
      <c r="I233" s="98"/>
      <c r="J233" s="98"/>
      <c r="K233" s="98"/>
      <c r="L233" s="98"/>
      <c r="M233" s="98"/>
      <c r="N233" s="98"/>
      <c r="O233" s="96"/>
      <c r="P233" s="96"/>
      <c r="Q233" s="15" t="e">
        <v>#N/A</v>
      </c>
      <c r="R233" s="15" t="e">
        <v>#N/A</v>
      </c>
      <c r="S233" s="15"/>
      <c r="T233" s="100"/>
      <c r="U233" s="15"/>
      <c r="V233" s="15"/>
      <c r="W233" s="15"/>
      <c r="X233" s="96"/>
      <c r="Y233" s="69">
        <f ca="1">Table24[[#This Row],[End Date]]+2-TODAY()</f>
        <v>-45775</v>
      </c>
      <c r="Z233" s="15">
        <f>IF(ISBLANK(Table24[[#This Row],[Roster Received By]]),1,0)</f>
        <v>1</v>
      </c>
      <c r="AA233" s="15">
        <f ca="1">IF(Table24[[#This Row],[Start Date]]&gt;TODAY(),1,)</f>
        <v>0</v>
      </c>
    </row>
    <row r="234" spans="1:27" s="61" customFormat="1" x14ac:dyDescent="0.25">
      <c r="B234" s="96"/>
      <c r="C234" s="97" t="e">
        <v>#N/A</v>
      </c>
      <c r="D234" s="97" t="e">
        <v>#N/A</v>
      </c>
      <c r="E234" s="96"/>
      <c r="F234" s="99"/>
      <c r="G234" s="99"/>
      <c r="H234" s="99"/>
      <c r="I234" s="98"/>
      <c r="J234" s="98"/>
      <c r="K234" s="98"/>
      <c r="L234" s="98"/>
      <c r="M234" s="98"/>
      <c r="N234" s="98"/>
      <c r="O234" s="96"/>
      <c r="P234" s="96"/>
      <c r="Q234" s="15" t="e">
        <v>#N/A</v>
      </c>
      <c r="R234" s="15" t="e">
        <v>#N/A</v>
      </c>
      <c r="S234" s="15"/>
      <c r="T234" s="100"/>
      <c r="U234" s="15"/>
      <c r="V234" s="15"/>
      <c r="W234" s="15"/>
      <c r="X234" s="96"/>
      <c r="Y234" s="69">
        <f ca="1">Table24[[#This Row],[End Date]]+2-TODAY()</f>
        <v>-45775</v>
      </c>
      <c r="Z234" s="15">
        <f>IF(ISBLANK(Table24[[#This Row],[Roster Received By]]),1,0)</f>
        <v>1</v>
      </c>
      <c r="AA234" s="15">
        <f ca="1">IF(Table24[[#This Row],[Start Date]]&gt;TODAY(),1,)</f>
        <v>0</v>
      </c>
    </row>
    <row r="235" spans="1:27" s="61" customFormat="1" x14ac:dyDescent="0.25">
      <c r="B235" s="96"/>
      <c r="C235" s="97" t="e">
        <v>#N/A</v>
      </c>
      <c r="D235" s="97" t="e">
        <v>#N/A</v>
      </c>
      <c r="E235" s="96"/>
      <c r="F235" s="99"/>
      <c r="G235" s="99"/>
      <c r="H235" s="99"/>
      <c r="I235" s="98"/>
      <c r="J235" s="98"/>
      <c r="K235" s="98"/>
      <c r="L235" s="98"/>
      <c r="M235" s="98"/>
      <c r="N235" s="98"/>
      <c r="O235" s="96"/>
      <c r="P235" s="96"/>
      <c r="Q235" s="15" t="e">
        <v>#N/A</v>
      </c>
      <c r="R235" s="15" t="e">
        <v>#N/A</v>
      </c>
      <c r="S235" s="15"/>
      <c r="T235" s="100"/>
      <c r="U235" s="15"/>
      <c r="V235" s="15"/>
      <c r="W235" s="15"/>
      <c r="X235" s="96"/>
      <c r="Y235" s="69">
        <f ca="1">Table24[[#This Row],[End Date]]+2-TODAY()</f>
        <v>-45775</v>
      </c>
      <c r="Z235" s="15">
        <f>IF(ISBLANK(Table24[[#This Row],[Roster Received By]]),1,0)</f>
        <v>1</v>
      </c>
      <c r="AA235" s="15">
        <f ca="1">IF(Table24[[#This Row],[Start Date]]&gt;TODAY(),1,)</f>
        <v>0</v>
      </c>
    </row>
    <row r="236" spans="1:27" s="61" customFormat="1" x14ac:dyDescent="0.25">
      <c r="B236" s="96"/>
      <c r="C236" s="97" t="e">
        <v>#N/A</v>
      </c>
      <c r="D236" s="97" t="e">
        <v>#N/A</v>
      </c>
      <c r="E236" s="96"/>
      <c r="F236" s="99"/>
      <c r="G236" s="99"/>
      <c r="H236" s="105"/>
      <c r="I236" s="102"/>
      <c r="J236" s="99"/>
      <c r="K236" s="99"/>
      <c r="L236" s="99"/>
      <c r="M236" s="99"/>
      <c r="N236" s="99"/>
      <c r="O236" s="96"/>
      <c r="P236" s="96"/>
      <c r="Q236" s="15" t="e">
        <v>#N/A</v>
      </c>
      <c r="R236" s="15" t="e">
        <v>#N/A</v>
      </c>
      <c r="S236" s="100"/>
      <c r="T236" s="100"/>
      <c r="U236" s="15"/>
      <c r="V236" s="15"/>
      <c r="W236" s="15"/>
      <c r="X236" s="96"/>
      <c r="Y236" s="69">
        <f ca="1">Table24[[#This Row],[End Date]]+2-TODAY()</f>
        <v>-45775</v>
      </c>
      <c r="Z236" s="15">
        <f>IF(ISBLANK(Table24[[#This Row],[Roster Received By]]),1,0)</f>
        <v>1</v>
      </c>
      <c r="AA236" s="15">
        <f ca="1">IF(Table24[[#This Row],[Start Date]]&gt;TODAY(),1,)</f>
        <v>0</v>
      </c>
    </row>
    <row r="237" spans="1:27" s="61" customFormat="1" x14ac:dyDescent="0.25">
      <c r="B237" s="113"/>
      <c r="C237" s="97" t="e">
        <v>#N/A</v>
      </c>
      <c r="D237" s="97" t="e">
        <v>#N/A</v>
      </c>
      <c r="E237" s="96"/>
      <c r="F237" s="99"/>
      <c r="G237" s="99"/>
      <c r="H237" s="99"/>
      <c r="I237" s="98"/>
      <c r="J237" s="98"/>
      <c r="K237" s="98"/>
      <c r="L237" s="98"/>
      <c r="M237" s="98"/>
      <c r="N237" s="98"/>
      <c r="O237" s="96"/>
      <c r="P237" s="96"/>
      <c r="Q237" s="15" t="e">
        <v>#N/A</v>
      </c>
      <c r="R237" s="15" t="e">
        <v>#N/A</v>
      </c>
      <c r="S237" s="15"/>
      <c r="T237" s="100"/>
      <c r="U237" s="15"/>
      <c r="V237" s="15"/>
      <c r="W237" s="15"/>
      <c r="X237" s="96"/>
      <c r="Y237" s="69">
        <f ca="1">Table24[[#This Row],[End Date]]+2-TODAY()</f>
        <v>-45775</v>
      </c>
      <c r="Z237" s="15">
        <f>IF(ISBLANK(Table24[[#This Row],[Roster Received By]]),1,0)</f>
        <v>1</v>
      </c>
      <c r="AA237" s="15">
        <f ca="1">IF(Table24[[#This Row],[Start Date]]&gt;TODAY(),1,)</f>
        <v>0</v>
      </c>
    </row>
    <row r="238" spans="1:27" s="61" customFormat="1" x14ac:dyDescent="0.25">
      <c r="B238" s="96"/>
      <c r="C238" s="97" t="e">
        <v>#N/A</v>
      </c>
      <c r="D238" s="97" t="e">
        <v>#N/A</v>
      </c>
      <c r="E238" s="96"/>
      <c r="F238" s="99"/>
      <c r="G238" s="99"/>
      <c r="H238" s="102"/>
      <c r="I238" s="102"/>
      <c r="J238" s="99"/>
      <c r="K238" s="99"/>
      <c r="L238" s="99"/>
      <c r="M238" s="99"/>
      <c r="N238" s="99"/>
      <c r="O238" s="96"/>
      <c r="P238" s="96"/>
      <c r="Q238" s="15" t="e">
        <v>#N/A</v>
      </c>
      <c r="R238" s="15" t="e">
        <v>#N/A</v>
      </c>
      <c r="S238" s="15"/>
      <c r="T238" s="100"/>
      <c r="U238" s="15"/>
      <c r="V238" s="15"/>
      <c r="W238" s="101"/>
      <c r="X238" s="96"/>
      <c r="Y238" s="69">
        <f ca="1">Table24[[#This Row],[End Date]]+2-TODAY()</f>
        <v>-45775</v>
      </c>
      <c r="Z238" s="15">
        <f>IF(ISBLANK(Table24[[#This Row],[Roster Received By]]),1,0)</f>
        <v>1</v>
      </c>
      <c r="AA238" s="15">
        <f ca="1">IF(Table24[[#This Row],[Start Date]]&gt;TODAY(),1,)</f>
        <v>0</v>
      </c>
    </row>
    <row r="239" spans="1:27" s="61" customFormat="1" x14ac:dyDescent="0.25">
      <c r="B239" s="113"/>
      <c r="C239" s="97" t="e">
        <v>#N/A</v>
      </c>
      <c r="D239" s="97" t="e">
        <v>#N/A</v>
      </c>
      <c r="E239" s="96"/>
      <c r="F239" s="99"/>
      <c r="G239" s="99"/>
      <c r="H239" s="102"/>
      <c r="I239" s="102"/>
      <c r="J239" s="102"/>
      <c r="K239" s="102"/>
      <c r="L239" s="102"/>
      <c r="M239" s="102"/>
      <c r="N239" s="99"/>
      <c r="O239" s="96"/>
      <c r="P239" s="96"/>
      <c r="Q239" s="15" t="e">
        <v>#N/A</v>
      </c>
      <c r="R239" s="15" t="e">
        <v>#N/A</v>
      </c>
      <c r="S239" s="15"/>
      <c r="T239" s="100"/>
      <c r="U239" s="15"/>
      <c r="V239" s="15"/>
      <c r="W239" s="15"/>
      <c r="X239" s="96"/>
      <c r="Y239" s="69">
        <f ca="1">Table24[[#This Row],[End Date]]+2-TODAY()</f>
        <v>-45775</v>
      </c>
      <c r="Z239" s="15">
        <f>IF(ISBLANK(Table24[[#This Row],[Roster Received By]]),1,0)</f>
        <v>1</v>
      </c>
      <c r="AA239" s="15">
        <f ca="1">IF(Table24[[#This Row],[Start Date]]&gt;TODAY(),1,)</f>
        <v>0</v>
      </c>
    </row>
    <row r="240" spans="1:27" s="61" customFormat="1" x14ac:dyDescent="0.25">
      <c r="B240" s="113"/>
      <c r="C240" s="97" t="e">
        <v>#N/A</v>
      </c>
      <c r="D240" s="97" t="e">
        <v>#N/A</v>
      </c>
      <c r="E240" s="96"/>
      <c r="F240" s="99"/>
      <c r="G240" s="99"/>
      <c r="H240" s="102"/>
      <c r="I240" s="102"/>
      <c r="J240" s="99"/>
      <c r="K240" s="99"/>
      <c r="L240" s="99"/>
      <c r="M240" s="99"/>
      <c r="N240" s="99"/>
      <c r="O240" s="96"/>
      <c r="P240" s="96"/>
      <c r="Q240" s="15" t="e">
        <v>#N/A</v>
      </c>
      <c r="R240" s="15" t="e">
        <v>#N/A</v>
      </c>
      <c r="S240" s="15"/>
      <c r="T240" s="100"/>
      <c r="U240" s="15"/>
      <c r="V240" s="15"/>
      <c r="W240" s="15"/>
      <c r="X240" s="96"/>
      <c r="Y240" s="69">
        <f ca="1">Table24[[#This Row],[End Date]]+2-TODAY()</f>
        <v>-45775</v>
      </c>
      <c r="Z240" s="15">
        <f>IF(ISBLANK(Table24[[#This Row],[Roster Received By]]),1,0)</f>
        <v>1</v>
      </c>
      <c r="AA240" s="15">
        <f ca="1">IF(Table24[[#This Row],[Start Date]]&gt;TODAY(),1,)</f>
        <v>0</v>
      </c>
    </row>
    <row r="241" spans="1:27" s="61" customFormat="1" x14ac:dyDescent="0.25">
      <c r="B241" s="113"/>
      <c r="C241" s="97" t="e">
        <v>#N/A</v>
      </c>
      <c r="D241" s="97" t="e">
        <v>#N/A</v>
      </c>
      <c r="E241" s="96"/>
      <c r="F241" s="99"/>
      <c r="G241" s="99"/>
      <c r="H241" s="99"/>
      <c r="I241" s="98"/>
      <c r="J241" s="98"/>
      <c r="K241" s="98"/>
      <c r="L241" s="98"/>
      <c r="M241" s="98"/>
      <c r="N241" s="98"/>
      <c r="O241" s="96"/>
      <c r="P241" s="96"/>
      <c r="Q241" s="15" t="e">
        <v>#N/A</v>
      </c>
      <c r="R241" s="15" t="e">
        <v>#N/A</v>
      </c>
      <c r="S241" s="15"/>
      <c r="T241" s="100"/>
      <c r="U241" s="15"/>
      <c r="V241" s="15"/>
      <c r="W241" s="15"/>
      <c r="X241" s="96"/>
      <c r="Y241" s="69">
        <f ca="1">Table24[[#This Row],[End Date]]+2-TODAY()</f>
        <v>-45775</v>
      </c>
      <c r="Z241" s="15">
        <f>IF(ISBLANK(Table24[[#This Row],[Roster Received By]]),1,0)</f>
        <v>1</v>
      </c>
      <c r="AA241" s="15">
        <f ca="1">IF(Table24[[#This Row],[Start Date]]&gt;TODAY(),1,)</f>
        <v>0</v>
      </c>
    </row>
    <row r="242" spans="1:27" s="61" customFormat="1" x14ac:dyDescent="0.25">
      <c r="B242" s="96"/>
      <c r="C242" s="97" t="e">
        <v>#N/A</v>
      </c>
      <c r="D242" s="97" t="e">
        <v>#N/A</v>
      </c>
      <c r="E242" s="96"/>
      <c r="F242" s="99"/>
      <c r="G242" s="99"/>
      <c r="H242" s="105"/>
      <c r="I242" s="105"/>
      <c r="J242" s="99"/>
      <c r="K242" s="99"/>
      <c r="L242" s="99"/>
      <c r="M242" s="99"/>
      <c r="N242" s="99"/>
      <c r="O242" s="96"/>
      <c r="P242" s="96"/>
      <c r="Q242" s="15" t="e">
        <v>#N/A</v>
      </c>
      <c r="R242" s="15" t="e">
        <v>#N/A</v>
      </c>
      <c r="S242" s="15"/>
      <c r="T242" s="100"/>
      <c r="U242" s="15"/>
      <c r="V242" s="15"/>
      <c r="W242" s="15"/>
      <c r="X242" s="96"/>
      <c r="Y242" s="69">
        <f ca="1">Table24[[#This Row],[End Date]]+2-TODAY()</f>
        <v>-45775</v>
      </c>
      <c r="Z242" s="15">
        <f>IF(ISBLANK(Table24[[#This Row],[Roster Received By]]),1,0)</f>
        <v>1</v>
      </c>
      <c r="AA242" s="15">
        <f ca="1">IF(Table24[[#This Row],[Start Date]]&gt;TODAY(),1,)</f>
        <v>0</v>
      </c>
    </row>
    <row r="243" spans="1:27" s="61" customFormat="1" x14ac:dyDescent="0.25">
      <c r="B243" s="96"/>
      <c r="C243" s="97" t="e">
        <v>#N/A</v>
      </c>
      <c r="D243" s="97" t="e">
        <v>#N/A</v>
      </c>
      <c r="E243" s="96"/>
      <c r="F243" s="99"/>
      <c r="G243" s="99"/>
      <c r="H243" s="99"/>
      <c r="I243" s="98"/>
      <c r="J243" s="98"/>
      <c r="K243" s="98"/>
      <c r="L243" s="98"/>
      <c r="M243" s="98"/>
      <c r="N243" s="98"/>
      <c r="O243" s="96"/>
      <c r="P243" s="96"/>
      <c r="Q243" s="15" t="e">
        <v>#N/A</v>
      </c>
      <c r="R243" s="15" t="e">
        <v>#N/A</v>
      </c>
      <c r="S243" s="15"/>
      <c r="T243" s="100"/>
      <c r="U243" s="15"/>
      <c r="V243" s="15"/>
      <c r="W243" s="15"/>
      <c r="X243" s="96"/>
      <c r="Y243" s="69">
        <f ca="1">Table24[[#This Row],[End Date]]+2-TODAY()</f>
        <v>-45775</v>
      </c>
      <c r="Z243" s="15">
        <f>IF(ISBLANK(Table24[[#This Row],[Roster Received By]]),1,0)</f>
        <v>1</v>
      </c>
      <c r="AA243" s="15">
        <f ca="1">IF(Table24[[#This Row],[Start Date]]&gt;TODAY(),1,)</f>
        <v>0</v>
      </c>
    </row>
    <row r="244" spans="1:27" s="61" customFormat="1" x14ac:dyDescent="0.25">
      <c r="B244" s="123"/>
      <c r="C244" s="97" t="e">
        <v>#N/A</v>
      </c>
      <c r="D244" s="97" t="e">
        <v>#N/A</v>
      </c>
      <c r="E244" s="96"/>
      <c r="F244" s="99"/>
      <c r="G244" s="99"/>
      <c r="H244" s="99"/>
      <c r="I244" s="98"/>
      <c r="J244" s="98"/>
      <c r="K244" s="98"/>
      <c r="L244" s="98"/>
      <c r="M244" s="98"/>
      <c r="N244" s="98"/>
      <c r="O244" s="96"/>
      <c r="P244" s="96"/>
      <c r="Q244" s="15" t="e">
        <v>#N/A</v>
      </c>
      <c r="R244" s="15" t="e">
        <v>#N/A</v>
      </c>
      <c r="S244" s="15"/>
      <c r="T244" s="100"/>
      <c r="U244" s="15"/>
      <c r="V244" s="15"/>
      <c r="W244" s="97"/>
      <c r="X244" s="96"/>
      <c r="Y244" s="69">
        <f ca="1">Table24[[#This Row],[End Date]]+2-TODAY()</f>
        <v>-45775</v>
      </c>
      <c r="Z244" s="15">
        <f>IF(ISBLANK(Table24[[#This Row],[Roster Received By]]),1,0)</f>
        <v>1</v>
      </c>
      <c r="AA244" s="15">
        <f ca="1">IF(Table24[[#This Row],[Start Date]]&gt;TODAY(),1,)</f>
        <v>0</v>
      </c>
    </row>
    <row r="245" spans="1:27" s="61" customFormat="1" x14ac:dyDescent="0.25">
      <c r="B245" s="113"/>
      <c r="C245" s="97" t="e">
        <v>#N/A</v>
      </c>
      <c r="D245" s="97" t="e">
        <v>#N/A</v>
      </c>
      <c r="E245" s="96"/>
      <c r="F245" s="99"/>
      <c r="G245" s="99"/>
      <c r="H245" s="99"/>
      <c r="I245" s="98"/>
      <c r="J245" s="98"/>
      <c r="K245" s="98"/>
      <c r="L245" s="98"/>
      <c r="M245" s="98"/>
      <c r="N245" s="98"/>
      <c r="O245" s="96"/>
      <c r="P245" s="96"/>
      <c r="Q245" s="15" t="e">
        <v>#N/A</v>
      </c>
      <c r="R245" s="15" t="e">
        <v>#N/A</v>
      </c>
      <c r="S245" s="15"/>
      <c r="T245" s="100"/>
      <c r="U245" s="15"/>
      <c r="V245" s="15"/>
      <c r="W245" s="15"/>
      <c r="X245" s="96"/>
      <c r="Y245" s="69">
        <f ca="1">Table24[[#This Row],[End Date]]+2-TODAY()</f>
        <v>-45775</v>
      </c>
      <c r="Z245" s="15">
        <f>IF(ISBLANK(Table24[[#This Row],[Roster Received By]]),1,0)</f>
        <v>1</v>
      </c>
      <c r="AA245" s="15">
        <f ca="1">IF(Table24[[#This Row],[Start Date]]&gt;TODAY(),1,)</f>
        <v>0</v>
      </c>
    </row>
    <row r="246" spans="1:27" s="61" customFormat="1" x14ac:dyDescent="0.25">
      <c r="B246" s="113"/>
      <c r="C246" s="97" t="e">
        <v>#N/A</v>
      </c>
      <c r="D246" s="97" t="e">
        <v>#N/A</v>
      </c>
      <c r="E246" s="96"/>
      <c r="F246" s="99"/>
      <c r="G246" s="99"/>
      <c r="H246" s="102"/>
      <c r="I246" s="102"/>
      <c r="J246" s="102"/>
      <c r="K246" s="102"/>
      <c r="L246" s="102"/>
      <c r="M246" s="102"/>
      <c r="N246" s="99"/>
      <c r="O246" s="96"/>
      <c r="P246" s="96"/>
      <c r="Q246" s="15" t="e">
        <v>#N/A</v>
      </c>
      <c r="R246" s="15" t="e">
        <v>#N/A</v>
      </c>
      <c r="S246" s="15"/>
      <c r="T246" s="100"/>
      <c r="U246" s="15"/>
      <c r="V246" s="15"/>
      <c r="W246" s="15"/>
      <c r="X246" s="96"/>
      <c r="Y246" s="69">
        <f ca="1">Table24[[#This Row],[End Date]]+2-TODAY()</f>
        <v>-45775</v>
      </c>
      <c r="Z246" s="15">
        <f>IF(ISBLANK(Table24[[#This Row],[Roster Received By]]),1,0)</f>
        <v>1</v>
      </c>
      <c r="AA246" s="15">
        <f ca="1">IF(Table24[[#This Row],[Start Date]]&gt;TODAY(),1,)</f>
        <v>0</v>
      </c>
    </row>
    <row r="247" spans="1:27" s="61" customFormat="1" x14ac:dyDescent="0.25">
      <c r="B247" s="113"/>
      <c r="C247" s="97" t="e">
        <v>#N/A</v>
      </c>
      <c r="D247" s="97" t="e">
        <v>#N/A</v>
      </c>
      <c r="E247" s="113"/>
      <c r="F247" s="95"/>
      <c r="G247" s="107"/>
      <c r="H247" s="99"/>
      <c r="I247" s="98"/>
      <c r="J247" s="98"/>
      <c r="K247" s="98"/>
      <c r="L247" s="98"/>
      <c r="M247" s="98"/>
      <c r="N247" s="98"/>
      <c r="O247" s="96"/>
      <c r="P247" s="96"/>
      <c r="Q247" s="15" t="e">
        <v>#N/A</v>
      </c>
      <c r="R247" s="15" t="e">
        <v>#N/A</v>
      </c>
      <c r="S247" s="15"/>
      <c r="T247" s="100"/>
      <c r="U247" s="15"/>
      <c r="V247" s="15"/>
      <c r="W247" s="15"/>
      <c r="X247" s="96"/>
      <c r="Y247" s="69">
        <f ca="1">Table24[[#This Row],[End Date]]+2-TODAY()</f>
        <v>-45775</v>
      </c>
      <c r="Z247" s="15">
        <f>IF(ISBLANK(Table24[[#This Row],[Roster Received By]]),1,0)</f>
        <v>1</v>
      </c>
      <c r="AA247" s="15">
        <f ca="1">IF(Table24[[#This Row],[Start Date]]&gt;TODAY(),1,)</f>
        <v>0</v>
      </c>
    </row>
    <row r="248" spans="1:27" s="61" customFormat="1" x14ac:dyDescent="0.25">
      <c r="B248" s="96"/>
      <c r="C248" s="97" t="e">
        <v>#N/A</v>
      </c>
      <c r="D248" s="97" t="e">
        <v>#N/A</v>
      </c>
      <c r="E248" s="96"/>
      <c r="F248" s="99"/>
      <c r="G248" s="99"/>
      <c r="H248" s="102"/>
      <c r="I248" s="102"/>
      <c r="J248" s="99"/>
      <c r="K248" s="99"/>
      <c r="L248" s="99"/>
      <c r="M248" s="99"/>
      <c r="N248" s="99"/>
      <c r="O248" s="96"/>
      <c r="P248" s="96"/>
      <c r="Q248" s="15" t="e">
        <v>#N/A</v>
      </c>
      <c r="R248" s="15" t="e">
        <v>#N/A</v>
      </c>
      <c r="S248" s="15"/>
      <c r="T248" s="100"/>
      <c r="U248" s="15"/>
      <c r="V248" s="15"/>
      <c r="W248" s="15"/>
      <c r="X248" s="96"/>
      <c r="Y248" s="69">
        <f ca="1">Table24[[#This Row],[End Date]]+2-TODAY()</f>
        <v>-45775</v>
      </c>
      <c r="Z248" s="15">
        <f>IF(ISBLANK(Table24[[#This Row],[Roster Received By]]),1,0)</f>
        <v>1</v>
      </c>
      <c r="AA248" s="15">
        <f ca="1">IF(Table24[[#This Row],[Start Date]]&gt;TODAY(),1,)</f>
        <v>0</v>
      </c>
    </row>
    <row r="249" spans="1:27" s="61" customFormat="1" x14ac:dyDescent="0.25">
      <c r="B249" s="113"/>
      <c r="C249" s="97" t="e">
        <v>#N/A</v>
      </c>
      <c r="D249" s="97" t="e">
        <v>#N/A</v>
      </c>
      <c r="E249" s="65"/>
      <c r="F249" s="95"/>
      <c r="G249" s="107"/>
      <c r="H249" s="102"/>
      <c r="I249" s="102"/>
      <c r="J249" s="99"/>
      <c r="K249" s="99"/>
      <c r="L249" s="99"/>
      <c r="M249" s="99"/>
      <c r="N249" s="99"/>
      <c r="O249" s="96"/>
      <c r="P249" s="96"/>
      <c r="Q249" s="15" t="e">
        <v>#N/A</v>
      </c>
      <c r="R249" s="15" t="e">
        <v>#N/A</v>
      </c>
      <c r="S249" s="15"/>
      <c r="T249" s="100"/>
      <c r="U249" s="15"/>
      <c r="V249" s="15"/>
      <c r="W249" s="97"/>
      <c r="X249" s="96"/>
      <c r="Y249" s="69">
        <f ca="1">Table24[[#This Row],[End Date]]+2-TODAY()</f>
        <v>-45775</v>
      </c>
      <c r="Z249" s="15">
        <f>IF(ISBLANK(Table24[[#This Row],[Roster Received By]]),1,0)</f>
        <v>1</v>
      </c>
      <c r="AA249" s="15">
        <f ca="1">IF(Table24[[#This Row],[Start Date]]&gt;TODAY(),1,)</f>
        <v>0</v>
      </c>
    </row>
    <row r="250" spans="1:27" s="61" customFormat="1" x14ac:dyDescent="0.25">
      <c r="B250" s="65"/>
      <c r="C250" s="97" t="e">
        <v>#N/A</v>
      </c>
      <c r="D250" s="97" t="e">
        <v>#N/A</v>
      </c>
      <c r="E250" s="127"/>
      <c r="F250" s="95"/>
      <c r="G250" s="95"/>
      <c r="H250" s="98"/>
      <c r="I250" s="98"/>
      <c r="J250" s="99"/>
      <c r="K250" s="99"/>
      <c r="L250" s="99"/>
      <c r="M250" s="99"/>
      <c r="N250" s="99"/>
      <c r="O250" s="96"/>
      <c r="P250" s="96"/>
      <c r="Q250" s="15" t="e">
        <v>#N/A</v>
      </c>
      <c r="R250" s="15" t="e">
        <v>#N/A</v>
      </c>
      <c r="S250" s="15"/>
      <c r="T250" s="100"/>
      <c r="U250" s="15"/>
      <c r="V250" s="15"/>
      <c r="W250" s="15"/>
      <c r="X250" s="96"/>
      <c r="Y250" s="69">
        <f ca="1">Table24[[#This Row],[End Date]]+2-TODAY()</f>
        <v>-45775</v>
      </c>
      <c r="Z250" s="15">
        <f>IF(ISBLANK(Table24[[#This Row],[Roster Received By]]),1,0)</f>
        <v>1</v>
      </c>
      <c r="AA250" s="15">
        <f ca="1">IF(Table24[[#This Row],[Start Date]]&gt;TODAY(),1,)</f>
        <v>0</v>
      </c>
    </row>
    <row r="251" spans="1:27" s="61" customFormat="1" x14ac:dyDescent="0.25">
      <c r="B251" s="113"/>
      <c r="C251" s="97" t="e">
        <v>#N/A</v>
      </c>
      <c r="D251" s="97" t="e">
        <v>#N/A</v>
      </c>
      <c r="E251" s="113"/>
      <c r="F251" s="107"/>
      <c r="G251" s="107"/>
      <c r="H251" s="99"/>
      <c r="I251" s="98"/>
      <c r="J251" s="98"/>
      <c r="K251" s="98"/>
      <c r="L251" s="98"/>
      <c r="M251" s="98"/>
      <c r="N251" s="98"/>
      <c r="O251" s="96"/>
      <c r="P251" s="96"/>
      <c r="Q251" s="15" t="e">
        <v>#N/A</v>
      </c>
      <c r="R251" s="15" t="e">
        <v>#N/A</v>
      </c>
      <c r="S251" s="15"/>
      <c r="T251" s="100"/>
      <c r="U251" s="15"/>
      <c r="V251" s="15"/>
      <c r="W251" s="15"/>
      <c r="X251" s="96"/>
      <c r="Y251" s="69">
        <f ca="1">Table24[[#This Row],[End Date]]+2-TODAY()</f>
        <v>-45775</v>
      </c>
      <c r="Z251" s="15">
        <f>IF(ISBLANK(Table24[[#This Row],[Roster Received By]]),1,0)</f>
        <v>1</v>
      </c>
      <c r="AA251" s="15">
        <f ca="1">IF(Table24[[#This Row],[Start Date]]&gt;TODAY(),1,)</f>
        <v>0</v>
      </c>
    </row>
    <row r="252" spans="1:27" s="61" customFormat="1" x14ac:dyDescent="0.25">
      <c r="B252" s="113"/>
      <c r="C252" s="97" t="e">
        <v>#N/A</v>
      </c>
      <c r="D252" s="97" t="e">
        <v>#N/A</v>
      </c>
      <c r="E252" s="113"/>
      <c r="F252" s="107"/>
      <c r="G252" s="107"/>
      <c r="H252" s="99"/>
      <c r="I252" s="98"/>
      <c r="J252" s="98"/>
      <c r="K252" s="98"/>
      <c r="L252" s="98"/>
      <c r="M252" s="98"/>
      <c r="N252" s="98"/>
      <c r="O252" s="96"/>
      <c r="P252" s="96"/>
      <c r="Q252" s="15" t="e">
        <v>#N/A</v>
      </c>
      <c r="R252" s="15" t="e">
        <v>#N/A</v>
      </c>
      <c r="S252" s="15"/>
      <c r="T252" s="100"/>
      <c r="U252" s="15"/>
      <c r="V252" s="15"/>
      <c r="W252" s="97"/>
      <c r="X252" s="96"/>
      <c r="Y252" s="69">
        <f ca="1">Table24[[#This Row],[End Date]]+2-TODAY()</f>
        <v>-45775</v>
      </c>
      <c r="Z252" s="15">
        <f>IF(ISBLANK(Table24[[#This Row],[Roster Received By]]),1,0)</f>
        <v>1</v>
      </c>
      <c r="AA252" s="15">
        <f ca="1">IF(Table24[[#This Row],[Start Date]]&gt;TODAY(),1,)</f>
        <v>0</v>
      </c>
    </row>
    <row r="253" spans="1:27" s="61" customFormat="1" x14ac:dyDescent="0.25">
      <c r="B253" s="113"/>
      <c r="C253" s="97" t="e">
        <v>#N/A</v>
      </c>
      <c r="D253" s="97" t="e">
        <v>#N/A</v>
      </c>
      <c r="E253" s="113"/>
      <c r="F253" s="107"/>
      <c r="G253" s="107"/>
      <c r="H253" s="99"/>
      <c r="I253" s="98"/>
      <c r="J253" s="98"/>
      <c r="K253" s="98"/>
      <c r="L253" s="98"/>
      <c r="M253" s="98"/>
      <c r="N253" s="98"/>
      <c r="O253" s="96"/>
      <c r="P253" s="96"/>
      <c r="Q253" s="15" t="e">
        <v>#N/A</v>
      </c>
      <c r="R253" s="15" t="e">
        <v>#N/A</v>
      </c>
      <c r="S253" s="15"/>
      <c r="T253" s="100"/>
      <c r="U253" s="15"/>
      <c r="V253" s="15"/>
      <c r="W253" s="15"/>
      <c r="X253" s="96"/>
      <c r="Y253" s="69">
        <f ca="1">Table24[[#This Row],[End Date]]+2-TODAY()</f>
        <v>-45775</v>
      </c>
      <c r="Z253" s="15">
        <f>IF(ISBLANK(Table24[[#This Row],[Roster Received By]]),1,0)</f>
        <v>1</v>
      </c>
      <c r="AA253" s="15">
        <f ca="1">IF(Table24[[#This Row],[Start Date]]&gt;TODAY(),1,)</f>
        <v>0</v>
      </c>
    </row>
    <row r="254" spans="1:27" s="61" customFormat="1" x14ac:dyDescent="0.25">
      <c r="A254" s="64"/>
      <c r="B254" s="113"/>
      <c r="C254" s="97" t="e">
        <v>#N/A</v>
      </c>
      <c r="D254" s="97" t="e">
        <v>#N/A</v>
      </c>
      <c r="E254" s="113"/>
      <c r="F254" s="107"/>
      <c r="G254" s="107"/>
      <c r="H254" s="99"/>
      <c r="I254" s="98"/>
      <c r="J254" s="98"/>
      <c r="K254" s="98"/>
      <c r="L254" s="98"/>
      <c r="M254" s="98"/>
      <c r="N254" s="98"/>
      <c r="O254" s="96"/>
      <c r="P254" s="96"/>
      <c r="Q254" s="15" t="e">
        <v>#N/A</v>
      </c>
      <c r="R254" s="15" t="e">
        <v>#N/A</v>
      </c>
      <c r="S254" s="15"/>
      <c r="T254" s="100"/>
      <c r="U254" s="15"/>
      <c r="V254" s="15"/>
      <c r="W254" s="15"/>
      <c r="X254" s="96"/>
      <c r="Y254" s="69">
        <f ca="1">Table24[[#This Row],[End Date]]+2-TODAY()</f>
        <v>-45775</v>
      </c>
      <c r="Z254" s="15">
        <f>IF(ISBLANK(Table24[[#This Row],[Roster Received By]]),1,0)</f>
        <v>1</v>
      </c>
      <c r="AA254" s="15">
        <f ca="1">IF(Table24[[#This Row],[Start Date]]&gt;TODAY(),1,)</f>
        <v>0</v>
      </c>
    </row>
    <row r="255" spans="1:27" s="61" customFormat="1" x14ac:dyDescent="0.25">
      <c r="B255" s="113"/>
      <c r="C255" s="97" t="e">
        <v>#N/A</v>
      </c>
      <c r="D255" s="97" t="e">
        <v>#N/A</v>
      </c>
      <c r="E255" s="113"/>
      <c r="F255" s="107"/>
      <c r="G255" s="107"/>
      <c r="H255" s="105"/>
      <c r="I255" s="105"/>
      <c r="J255" s="99"/>
      <c r="K255" s="99"/>
      <c r="L255" s="99"/>
      <c r="M255" s="99"/>
      <c r="N255" s="99"/>
      <c r="O255" s="96"/>
      <c r="P255" s="96"/>
      <c r="Q255" s="15" t="e">
        <v>#N/A</v>
      </c>
      <c r="R255" s="15" t="e">
        <v>#N/A</v>
      </c>
      <c r="S255" s="15"/>
      <c r="T255" s="100"/>
      <c r="U255" s="15"/>
      <c r="V255" s="15"/>
      <c r="W255" s="15"/>
      <c r="X255" s="96"/>
      <c r="Y255" s="69">
        <f ca="1">Table24[[#This Row],[End Date]]+2-TODAY()</f>
        <v>-45775</v>
      </c>
      <c r="Z255" s="15">
        <f>IF(ISBLANK(Table24[[#This Row],[Roster Received By]]),1,0)</f>
        <v>1</v>
      </c>
      <c r="AA255" s="15">
        <f ca="1">IF(Table24[[#This Row],[Start Date]]&gt;TODAY(),1,)</f>
        <v>0</v>
      </c>
    </row>
    <row r="256" spans="1:27" s="61" customFormat="1" x14ac:dyDescent="0.25">
      <c r="B256" s="113"/>
      <c r="C256" s="97" t="e">
        <v>#N/A</v>
      </c>
      <c r="D256" s="97" t="e">
        <v>#N/A</v>
      </c>
      <c r="E256" s="113"/>
      <c r="F256" s="107"/>
      <c r="G256" s="107"/>
      <c r="H256" s="98"/>
      <c r="I256" s="102"/>
      <c r="J256" s="99"/>
      <c r="K256" s="99"/>
      <c r="L256" s="99"/>
      <c r="M256" s="99"/>
      <c r="N256" s="99"/>
      <c r="O256" s="96"/>
      <c r="P256" s="96"/>
      <c r="Q256" s="15" t="e">
        <v>#N/A</v>
      </c>
      <c r="R256" s="15" t="e">
        <v>#N/A</v>
      </c>
      <c r="S256" s="100"/>
      <c r="T256" s="100"/>
      <c r="U256" s="15"/>
      <c r="V256" s="15"/>
      <c r="W256" s="15"/>
      <c r="X256" s="96"/>
      <c r="Y256" s="69">
        <f ca="1">Table24[[#This Row],[End Date]]+2-TODAY()</f>
        <v>-45775</v>
      </c>
      <c r="Z256" s="15">
        <f>IF(ISBLANK(Table24[[#This Row],[Roster Received By]]),1,0)</f>
        <v>1</v>
      </c>
      <c r="AA256" s="15">
        <f ca="1">IF(Table24[[#This Row],[Start Date]]&gt;TODAY(),1,)</f>
        <v>0</v>
      </c>
    </row>
    <row r="257" spans="1:27" s="61" customFormat="1" x14ac:dyDescent="0.25">
      <c r="B257" s="113"/>
      <c r="C257" s="97" t="e">
        <v>#N/A</v>
      </c>
      <c r="D257" s="97" t="e">
        <v>#N/A</v>
      </c>
      <c r="E257" s="113"/>
      <c r="F257" s="107"/>
      <c r="G257" s="107"/>
      <c r="H257" s="102"/>
      <c r="I257" s="102"/>
      <c r="J257" s="102"/>
      <c r="K257" s="102"/>
      <c r="L257" s="102"/>
      <c r="M257" s="102"/>
      <c r="N257" s="102"/>
      <c r="O257" s="96"/>
      <c r="P257" s="96"/>
      <c r="Q257" s="15" t="e">
        <v>#N/A</v>
      </c>
      <c r="R257" s="15" t="e">
        <v>#N/A</v>
      </c>
      <c r="S257" s="100"/>
      <c r="T257" s="100"/>
      <c r="U257" s="15"/>
      <c r="V257" s="15"/>
      <c r="W257" s="15"/>
      <c r="X257" s="96"/>
      <c r="Y257" s="69">
        <f ca="1">Table24[[#This Row],[End Date]]+2-TODAY()</f>
        <v>-45775</v>
      </c>
      <c r="Z257" s="15">
        <f>IF(ISBLANK(Table24[[#This Row],[Roster Received By]]),1,0)</f>
        <v>1</v>
      </c>
      <c r="AA257" s="15">
        <f ca="1">IF(Table24[[#This Row],[Start Date]]&gt;TODAY(),1,)</f>
        <v>0</v>
      </c>
    </row>
    <row r="258" spans="1:27" s="61" customFormat="1" x14ac:dyDescent="0.25">
      <c r="B258" s="113"/>
      <c r="C258" s="97" t="e">
        <v>#N/A</v>
      </c>
      <c r="D258" s="97" t="e">
        <v>#N/A</v>
      </c>
      <c r="E258" s="127"/>
      <c r="F258" s="95"/>
      <c r="G258" s="95"/>
      <c r="H258" s="98"/>
      <c r="I258" s="98"/>
      <c r="J258" s="99"/>
      <c r="K258" s="99"/>
      <c r="L258" s="99"/>
      <c r="M258" s="99"/>
      <c r="N258" s="99"/>
      <c r="O258" s="96"/>
      <c r="P258" s="96"/>
      <c r="Q258" s="15" t="e">
        <v>#N/A</v>
      </c>
      <c r="R258" s="15" t="e">
        <v>#N/A</v>
      </c>
      <c r="S258" s="15"/>
      <c r="T258" s="100"/>
      <c r="U258" s="15"/>
      <c r="V258" s="15"/>
      <c r="W258" s="100"/>
      <c r="X258" s="96"/>
      <c r="Y258" s="69">
        <f ca="1">Table24[[#This Row],[End Date]]+2-TODAY()</f>
        <v>-45775</v>
      </c>
      <c r="Z258" s="15">
        <f>IF(ISBLANK(Table24[[#This Row],[Roster Received By]]),1,0)</f>
        <v>1</v>
      </c>
      <c r="AA258" s="15">
        <f ca="1">IF(Table24[[#This Row],[Start Date]]&gt;TODAY(),1,)</f>
        <v>0</v>
      </c>
    </row>
    <row r="259" spans="1:27" s="61" customFormat="1" x14ac:dyDescent="0.25">
      <c r="B259" s="113"/>
      <c r="C259" s="97" t="e">
        <v>#N/A</v>
      </c>
      <c r="D259" s="97" t="e">
        <v>#N/A</v>
      </c>
      <c r="E259" s="96"/>
      <c r="F259" s="99"/>
      <c r="G259" s="99"/>
      <c r="H259" s="102"/>
      <c r="I259" s="102"/>
      <c r="J259" s="102"/>
      <c r="K259" s="102"/>
      <c r="L259" s="102"/>
      <c r="M259" s="102"/>
      <c r="N259" s="102"/>
      <c r="O259" s="96"/>
      <c r="P259" s="96"/>
      <c r="Q259" s="15" t="e">
        <v>#N/A</v>
      </c>
      <c r="R259" s="15" t="e">
        <v>#N/A</v>
      </c>
      <c r="S259" s="15"/>
      <c r="T259" s="100"/>
      <c r="U259" s="15"/>
      <c r="V259" s="15"/>
      <c r="W259" s="15"/>
      <c r="X259" s="96"/>
      <c r="Y259" s="69">
        <f ca="1">Table24[[#This Row],[End Date]]+2-TODAY()</f>
        <v>-45775</v>
      </c>
      <c r="Z259" s="15">
        <f>IF(ISBLANK(Table24[[#This Row],[Roster Received By]]),1,0)</f>
        <v>1</v>
      </c>
      <c r="AA259" s="15">
        <f ca="1">IF(Table24[[#This Row],[Start Date]]&gt;TODAY(),1,)</f>
        <v>0</v>
      </c>
    </row>
    <row r="260" spans="1:27" s="61" customFormat="1" x14ac:dyDescent="0.25">
      <c r="B260" s="114"/>
      <c r="C260" s="97" t="e">
        <v>#N/A</v>
      </c>
      <c r="D260" s="97" t="e">
        <v>#N/A</v>
      </c>
      <c r="E260" s="96"/>
      <c r="F260" s="99"/>
      <c r="G260" s="99"/>
      <c r="H260" s="99"/>
      <c r="I260" s="98"/>
      <c r="J260" s="98"/>
      <c r="K260" s="98"/>
      <c r="L260" s="98"/>
      <c r="M260" s="98"/>
      <c r="N260" s="98"/>
      <c r="O260" s="96"/>
      <c r="P260" s="96"/>
      <c r="Q260" s="15" t="e">
        <v>#N/A</v>
      </c>
      <c r="R260" s="15" t="e">
        <v>#N/A</v>
      </c>
      <c r="S260" s="15"/>
      <c r="T260" s="100"/>
      <c r="U260" s="15"/>
      <c r="V260" s="15"/>
      <c r="W260" s="15"/>
      <c r="X260" s="96"/>
      <c r="Y260" s="69">
        <f ca="1">Table24[[#This Row],[End Date]]+2-TODAY()</f>
        <v>-45775</v>
      </c>
      <c r="Z260" s="15">
        <f>IF(ISBLANK(Table24[[#This Row],[Roster Received By]]),1,0)</f>
        <v>1</v>
      </c>
      <c r="AA260" s="15">
        <f ca="1">IF(Table24[[#This Row],[Start Date]]&gt;TODAY(),1,)</f>
        <v>0</v>
      </c>
    </row>
    <row r="261" spans="1:27" s="61" customFormat="1" x14ac:dyDescent="0.25">
      <c r="B261" s="114"/>
      <c r="C261" s="97" t="e">
        <v>#N/A</v>
      </c>
      <c r="D261" s="97" t="e">
        <v>#N/A</v>
      </c>
      <c r="E261" s="96"/>
      <c r="F261" s="99"/>
      <c r="G261" s="99"/>
      <c r="H261" s="99"/>
      <c r="I261" s="98"/>
      <c r="J261" s="98"/>
      <c r="K261" s="98"/>
      <c r="L261" s="98"/>
      <c r="M261" s="98"/>
      <c r="N261" s="98"/>
      <c r="O261" s="96"/>
      <c r="P261" s="96"/>
      <c r="Q261" s="15" t="e">
        <v>#N/A</v>
      </c>
      <c r="R261" s="15" t="e">
        <v>#N/A</v>
      </c>
      <c r="S261" s="15"/>
      <c r="T261" s="100"/>
      <c r="U261" s="15"/>
      <c r="V261" s="15"/>
      <c r="W261" s="15"/>
      <c r="X261" s="96"/>
      <c r="Y261" s="69">
        <f ca="1">Table24[[#This Row],[End Date]]+2-TODAY()</f>
        <v>-45775</v>
      </c>
      <c r="Z261" s="15">
        <f>IF(ISBLANK(Table24[[#This Row],[Roster Received By]]),1,0)</f>
        <v>1</v>
      </c>
      <c r="AA261" s="15">
        <f ca="1">IF(Table24[[#This Row],[Start Date]]&gt;TODAY(),1,)</f>
        <v>0</v>
      </c>
    </row>
    <row r="262" spans="1:27" s="61" customFormat="1" x14ac:dyDescent="0.25">
      <c r="B262" s="113"/>
      <c r="C262" s="97" t="e">
        <v>#N/A</v>
      </c>
      <c r="D262" s="97" t="e">
        <v>#N/A</v>
      </c>
      <c r="E262" s="96"/>
      <c r="F262" s="99"/>
      <c r="G262" s="99"/>
      <c r="H262" s="99"/>
      <c r="I262" s="98"/>
      <c r="J262" s="98"/>
      <c r="K262" s="98"/>
      <c r="L262" s="98"/>
      <c r="M262" s="98"/>
      <c r="N262" s="98"/>
      <c r="O262" s="96"/>
      <c r="P262" s="96"/>
      <c r="Q262" s="15" t="e">
        <v>#N/A</v>
      </c>
      <c r="R262" s="15" t="e">
        <v>#N/A</v>
      </c>
      <c r="S262" s="15"/>
      <c r="T262" s="100"/>
      <c r="U262" s="15"/>
      <c r="V262" s="15"/>
      <c r="W262" s="15"/>
      <c r="X262" s="96"/>
      <c r="Y262" s="69">
        <f ca="1">Table24[[#This Row],[End Date]]+2-TODAY()</f>
        <v>-45775</v>
      </c>
      <c r="Z262" s="15">
        <f>IF(ISBLANK(Table24[[#This Row],[Roster Received By]]),1,0)</f>
        <v>1</v>
      </c>
      <c r="AA262" s="15">
        <f ca="1">IF(Table24[[#This Row],[Start Date]]&gt;TODAY(),1,)</f>
        <v>0</v>
      </c>
    </row>
    <row r="263" spans="1:27" s="61" customFormat="1" x14ac:dyDescent="0.25">
      <c r="B263" s="113"/>
      <c r="C263" s="97" t="e">
        <v>#N/A</v>
      </c>
      <c r="D263" s="97" t="e">
        <v>#N/A</v>
      </c>
      <c r="E263" s="96"/>
      <c r="F263" s="99"/>
      <c r="G263" s="99"/>
      <c r="H263" s="99"/>
      <c r="I263" s="98"/>
      <c r="J263" s="98"/>
      <c r="K263" s="98"/>
      <c r="L263" s="98"/>
      <c r="M263" s="98"/>
      <c r="N263" s="98"/>
      <c r="O263" s="96"/>
      <c r="P263" s="96"/>
      <c r="Q263" s="15" t="e">
        <v>#N/A</v>
      </c>
      <c r="R263" s="15" t="e">
        <v>#N/A</v>
      </c>
      <c r="S263" s="15"/>
      <c r="T263" s="100"/>
      <c r="U263" s="15"/>
      <c r="V263" s="15"/>
      <c r="W263" s="15"/>
      <c r="X263" s="96"/>
      <c r="Y263" s="69">
        <f ca="1">Table24[[#This Row],[End Date]]+2-TODAY()</f>
        <v>-45775</v>
      </c>
      <c r="Z263" s="15">
        <f>IF(ISBLANK(Table24[[#This Row],[Roster Received By]]),1,0)</f>
        <v>1</v>
      </c>
      <c r="AA263" s="15">
        <f ca="1">IF(Table24[[#This Row],[Start Date]]&gt;TODAY(),1,)</f>
        <v>0</v>
      </c>
    </row>
    <row r="264" spans="1:27" s="61" customFormat="1" x14ac:dyDescent="0.25">
      <c r="B264" s="113"/>
      <c r="C264" s="97" t="e">
        <v>#N/A</v>
      </c>
      <c r="D264" s="97" t="e">
        <v>#N/A</v>
      </c>
      <c r="E264" s="96"/>
      <c r="F264" s="99"/>
      <c r="G264" s="99"/>
      <c r="H264" s="99"/>
      <c r="I264" s="98"/>
      <c r="J264" s="98"/>
      <c r="K264" s="98"/>
      <c r="L264" s="98"/>
      <c r="M264" s="98"/>
      <c r="N264" s="98"/>
      <c r="O264" s="96"/>
      <c r="P264" s="96"/>
      <c r="Q264" s="15" t="e">
        <v>#N/A</v>
      </c>
      <c r="R264" s="15" t="e">
        <v>#N/A</v>
      </c>
      <c r="S264" s="15"/>
      <c r="T264" s="100"/>
      <c r="U264" s="15"/>
      <c r="V264" s="15"/>
      <c r="W264" s="15"/>
      <c r="X264" s="96"/>
      <c r="Y264" s="69">
        <f ca="1">Table24[[#This Row],[End Date]]+2-TODAY()</f>
        <v>-45775</v>
      </c>
      <c r="Z264" s="15">
        <f>IF(ISBLANK(Table24[[#This Row],[Roster Received By]]),1,0)</f>
        <v>1</v>
      </c>
      <c r="AA264" s="15">
        <f ca="1">IF(Table24[[#This Row],[Start Date]]&gt;TODAY(),1,)</f>
        <v>0</v>
      </c>
    </row>
    <row r="265" spans="1:27" s="61" customFormat="1" x14ac:dyDescent="0.25">
      <c r="B265" s="113"/>
      <c r="C265" s="97" t="e">
        <v>#N/A</v>
      </c>
      <c r="D265" s="97" t="e">
        <v>#N/A</v>
      </c>
      <c r="E265" s="64"/>
      <c r="F265" s="99"/>
      <c r="G265" s="99"/>
      <c r="H265" s="102"/>
      <c r="I265" s="102"/>
      <c r="J265" s="99"/>
      <c r="K265" s="99"/>
      <c r="L265" s="99"/>
      <c r="M265" s="99"/>
      <c r="N265" s="99"/>
      <c r="O265" s="96"/>
      <c r="P265" s="96"/>
      <c r="Q265" s="15" t="e">
        <v>#N/A</v>
      </c>
      <c r="R265" s="15" t="e">
        <v>#N/A</v>
      </c>
      <c r="S265" s="15"/>
      <c r="T265" s="100"/>
      <c r="U265" s="15"/>
      <c r="V265" s="15"/>
      <c r="W265" s="15"/>
      <c r="X265" s="96"/>
      <c r="Y265" s="69">
        <f ca="1">Table24[[#This Row],[End Date]]+2-TODAY()</f>
        <v>-45775</v>
      </c>
      <c r="Z265" s="15">
        <f>IF(ISBLANK(Table24[[#This Row],[Roster Received By]]),1,0)</f>
        <v>1</v>
      </c>
      <c r="AA265" s="15">
        <f ca="1">IF(Table24[[#This Row],[Start Date]]&gt;TODAY(),1,)</f>
        <v>0</v>
      </c>
    </row>
    <row r="266" spans="1:27" s="61" customFormat="1" x14ac:dyDescent="0.25">
      <c r="B266" s="113"/>
      <c r="C266" s="97" t="e">
        <v>#N/A</v>
      </c>
      <c r="D266" s="97" t="e">
        <v>#N/A</v>
      </c>
      <c r="E266" s="96"/>
      <c r="F266" s="99"/>
      <c r="G266" s="99"/>
      <c r="H266" s="99"/>
      <c r="I266" s="98"/>
      <c r="J266" s="98"/>
      <c r="K266" s="98"/>
      <c r="L266" s="98"/>
      <c r="M266" s="98"/>
      <c r="N266" s="98"/>
      <c r="O266" s="96"/>
      <c r="P266" s="96"/>
      <c r="Q266" s="15" t="e">
        <v>#N/A</v>
      </c>
      <c r="R266" s="15" t="e">
        <v>#N/A</v>
      </c>
      <c r="S266" s="15"/>
      <c r="T266" s="100"/>
      <c r="U266" s="15"/>
      <c r="V266" s="15"/>
      <c r="W266" s="15"/>
      <c r="X266" s="96"/>
      <c r="Y266" s="69">
        <f ca="1">Table24[[#This Row],[End Date]]+2-TODAY()</f>
        <v>-45775</v>
      </c>
      <c r="Z266" s="15">
        <f>IF(ISBLANK(Table24[[#This Row],[Roster Received By]]),1,0)</f>
        <v>1</v>
      </c>
      <c r="AA266" s="15">
        <f ca="1">IF(Table24[[#This Row],[Start Date]]&gt;TODAY(),1,)</f>
        <v>0</v>
      </c>
    </row>
    <row r="267" spans="1:27" s="103" customFormat="1" ht="15.75" customHeight="1" x14ac:dyDescent="0.25">
      <c r="A267" s="61"/>
      <c r="B267" s="113"/>
      <c r="C267" s="97" t="e">
        <v>#N/A</v>
      </c>
      <c r="D267" s="97" t="e">
        <v>#N/A</v>
      </c>
      <c r="E267" s="96"/>
      <c r="F267" s="99"/>
      <c r="G267" s="99"/>
      <c r="H267" s="99"/>
      <c r="I267" s="98"/>
      <c r="J267" s="98"/>
      <c r="K267" s="98"/>
      <c r="L267" s="98"/>
      <c r="M267" s="98"/>
      <c r="N267" s="98"/>
      <c r="O267" s="96"/>
      <c r="P267" s="96"/>
      <c r="Q267" s="15" t="e">
        <v>#N/A</v>
      </c>
      <c r="R267" s="15" t="e">
        <v>#N/A</v>
      </c>
      <c r="S267" s="15"/>
      <c r="T267" s="100"/>
      <c r="U267" s="15"/>
      <c r="V267" s="15"/>
      <c r="W267" s="97"/>
      <c r="X267" s="96"/>
      <c r="Y267" s="69">
        <f ca="1">Table24[[#This Row],[End Date]]+2-TODAY()</f>
        <v>-45775</v>
      </c>
      <c r="Z267" s="15">
        <f>IF(ISBLANK(Table24[[#This Row],[Roster Received By]]),1,0)</f>
        <v>1</v>
      </c>
      <c r="AA267" s="15">
        <f ca="1">IF(Table24[[#This Row],[Start Date]]&gt;TODAY(),1,)</f>
        <v>0</v>
      </c>
    </row>
    <row r="268" spans="1:27" s="103" customFormat="1" ht="14.45" customHeight="1" x14ac:dyDescent="0.25">
      <c r="A268" s="61"/>
      <c r="B268" s="113"/>
      <c r="C268" s="97" t="e">
        <v>#N/A</v>
      </c>
      <c r="D268" s="97" t="e">
        <v>#N/A</v>
      </c>
      <c r="E268" s="64"/>
      <c r="F268" s="99"/>
      <c r="G268" s="99"/>
      <c r="H268" s="105"/>
      <c r="I268" s="105"/>
      <c r="J268" s="99"/>
      <c r="K268" s="99"/>
      <c r="L268" s="99"/>
      <c r="M268" s="99"/>
      <c r="N268" s="99"/>
      <c r="O268" s="96"/>
      <c r="P268" s="96"/>
      <c r="Q268" s="15" t="e">
        <v>#N/A</v>
      </c>
      <c r="R268" s="15" t="e">
        <v>#N/A</v>
      </c>
      <c r="S268" s="15"/>
      <c r="T268" s="100"/>
      <c r="U268" s="15"/>
      <c r="V268" s="15"/>
      <c r="W268" s="15"/>
      <c r="X268" s="96"/>
      <c r="Y268" s="69">
        <f ca="1">Table24[[#This Row],[End Date]]+2-TODAY()</f>
        <v>-45775</v>
      </c>
      <c r="Z268" s="15">
        <f>IF(ISBLANK(Table24[[#This Row],[Roster Received By]]),1,0)</f>
        <v>1</v>
      </c>
      <c r="AA268" s="15">
        <f ca="1">IF(Table24[[#This Row],[Start Date]]&gt;TODAY(),1,)</f>
        <v>0</v>
      </c>
    </row>
    <row r="269" spans="1:27" s="103" customFormat="1" ht="15.75" customHeight="1" x14ac:dyDescent="0.25">
      <c r="A269" s="61"/>
      <c r="B269" s="113"/>
      <c r="C269" s="97" t="e">
        <v>#N/A</v>
      </c>
      <c r="D269" s="97" t="e">
        <v>#N/A</v>
      </c>
      <c r="E269" s="108"/>
      <c r="F269" s="66"/>
      <c r="G269" s="66"/>
      <c r="H269" s="105"/>
      <c r="I269" s="105"/>
      <c r="J269" s="99"/>
      <c r="K269" s="99"/>
      <c r="L269" s="99"/>
      <c r="M269" s="99"/>
      <c r="N269" s="99"/>
      <c r="O269" s="96"/>
      <c r="P269" s="96"/>
      <c r="Q269" s="15" t="e">
        <v>#N/A</v>
      </c>
      <c r="R269" s="15" t="e">
        <v>#N/A</v>
      </c>
      <c r="S269" s="15"/>
      <c r="T269" s="100"/>
      <c r="U269" s="15"/>
      <c r="V269" s="15"/>
      <c r="W269" s="15"/>
      <c r="X269" s="96"/>
      <c r="Y269" s="69">
        <f ca="1">Table24[[#This Row],[End Date]]+2-TODAY()</f>
        <v>-45775</v>
      </c>
      <c r="Z269" s="15">
        <f>IF(ISBLANK(Table24[[#This Row],[Roster Received By]]),1,0)</f>
        <v>1</v>
      </c>
      <c r="AA269" s="15">
        <f ca="1">IF(Table24[[#This Row],[Start Date]]&gt;TODAY(),1,)</f>
        <v>0</v>
      </c>
    </row>
    <row r="270" spans="1:27" s="103" customFormat="1" ht="15.75" customHeight="1" x14ac:dyDescent="0.25">
      <c r="A270" s="61"/>
      <c r="B270" s="113"/>
      <c r="C270" s="97" t="e">
        <v>#N/A</v>
      </c>
      <c r="D270" s="97" t="e">
        <v>#N/A</v>
      </c>
      <c r="E270" s="96"/>
      <c r="F270" s="99"/>
      <c r="G270" s="99"/>
      <c r="H270" s="102"/>
      <c r="I270" s="102"/>
      <c r="J270" s="102"/>
      <c r="K270" s="102"/>
      <c r="L270" s="102"/>
      <c r="M270" s="102"/>
      <c r="N270" s="99"/>
      <c r="O270" s="96"/>
      <c r="P270" s="96"/>
      <c r="Q270" s="15" t="e">
        <v>#N/A</v>
      </c>
      <c r="R270" s="15" t="e">
        <v>#N/A</v>
      </c>
      <c r="S270" s="15"/>
      <c r="T270" s="100"/>
      <c r="U270" s="15"/>
      <c r="V270" s="15"/>
      <c r="W270" s="15"/>
      <c r="X270" s="96"/>
      <c r="Y270" s="69">
        <f ca="1">Table24[[#This Row],[End Date]]+2-TODAY()</f>
        <v>-45775</v>
      </c>
      <c r="Z270" s="15">
        <f>IF(ISBLANK(Table24[[#This Row],[Roster Received By]]),1,0)</f>
        <v>1</v>
      </c>
      <c r="AA270" s="15">
        <f ca="1">IF(Table24[[#This Row],[Start Date]]&gt;TODAY(),1,)</f>
        <v>0</v>
      </c>
    </row>
    <row r="271" spans="1:27" s="103" customFormat="1" ht="15.75" customHeight="1" x14ac:dyDescent="0.25">
      <c r="A271" s="64"/>
      <c r="B271" s="113"/>
      <c r="C271" s="97" t="e">
        <v>#N/A</v>
      </c>
      <c r="D271" s="97" t="e">
        <v>#N/A</v>
      </c>
      <c r="E271" s="96"/>
      <c r="F271" s="99"/>
      <c r="G271" s="99"/>
      <c r="H271" s="105"/>
      <c r="I271" s="105"/>
      <c r="J271" s="99"/>
      <c r="K271" s="99"/>
      <c r="L271" s="99"/>
      <c r="M271" s="99"/>
      <c r="N271" s="99"/>
      <c r="O271" s="96"/>
      <c r="P271" s="96"/>
      <c r="Q271" s="15" t="e">
        <v>#N/A</v>
      </c>
      <c r="R271" s="15" t="e">
        <v>#N/A</v>
      </c>
      <c r="S271" s="15"/>
      <c r="T271" s="100"/>
      <c r="U271" s="15"/>
      <c r="V271" s="15"/>
      <c r="W271" s="15"/>
      <c r="X271" s="96"/>
      <c r="Y271" s="69">
        <f ca="1">Table24[[#This Row],[End Date]]+2-TODAY()</f>
        <v>-45775</v>
      </c>
      <c r="Z271" s="15">
        <f>IF(ISBLANK(Table24[[#This Row],[Roster Received By]]),1,0)</f>
        <v>1</v>
      </c>
      <c r="AA271" s="15">
        <f ca="1">IF(Table24[[#This Row],[Start Date]]&gt;TODAY(),1,)</f>
        <v>0</v>
      </c>
    </row>
    <row r="272" spans="1:27" s="103" customFormat="1" ht="15.75" customHeight="1" x14ac:dyDescent="0.25">
      <c r="A272" s="61"/>
      <c r="B272" s="113"/>
      <c r="C272" s="97" t="e">
        <v>#N/A</v>
      </c>
      <c r="D272" s="97" t="e">
        <v>#N/A</v>
      </c>
      <c r="E272" s="64"/>
      <c r="F272" s="99"/>
      <c r="G272" s="99"/>
      <c r="H272" s="102"/>
      <c r="I272" s="102"/>
      <c r="J272" s="99"/>
      <c r="K272" s="99"/>
      <c r="L272" s="99"/>
      <c r="M272" s="99"/>
      <c r="N272" s="99"/>
      <c r="O272" s="96"/>
      <c r="P272" s="96"/>
      <c r="Q272" s="15" t="e">
        <v>#N/A</v>
      </c>
      <c r="R272" s="15" t="e">
        <v>#N/A</v>
      </c>
      <c r="S272" s="15"/>
      <c r="T272" s="100"/>
      <c r="U272" s="15"/>
      <c r="V272" s="15"/>
      <c r="W272" s="15"/>
      <c r="X272" s="96"/>
      <c r="Y272" s="69">
        <f ca="1">Table24[[#This Row],[End Date]]+2-TODAY()</f>
        <v>-45775</v>
      </c>
      <c r="Z272" s="15">
        <f>IF(ISBLANK(Table24[[#This Row],[Roster Received By]]),1,0)</f>
        <v>1</v>
      </c>
      <c r="AA272" s="15">
        <f ca="1">IF(Table24[[#This Row],[Start Date]]&gt;TODAY(),1,)</f>
        <v>0</v>
      </c>
    </row>
    <row r="273" spans="1:27" s="103" customFormat="1" ht="15.75" customHeight="1" x14ac:dyDescent="0.25">
      <c r="A273" s="96"/>
      <c r="B273" s="113"/>
      <c r="C273" s="97" t="e">
        <v>#N/A</v>
      </c>
      <c r="D273" s="97" t="e">
        <v>#N/A</v>
      </c>
      <c r="E273" s="96"/>
      <c r="F273" s="99"/>
      <c r="G273" s="99"/>
      <c r="H273" s="102"/>
      <c r="I273" s="102"/>
      <c r="J273" s="99"/>
      <c r="K273" s="99"/>
      <c r="L273" s="99"/>
      <c r="M273" s="99"/>
      <c r="N273" s="99"/>
      <c r="O273" s="96"/>
      <c r="P273" s="96"/>
      <c r="Q273" s="15" t="e">
        <v>#N/A</v>
      </c>
      <c r="R273" s="15" t="e">
        <v>#N/A</v>
      </c>
      <c r="S273" s="15"/>
      <c r="T273" s="100"/>
      <c r="U273" s="15"/>
      <c r="V273" s="15"/>
      <c r="W273" s="15"/>
      <c r="X273" s="96"/>
      <c r="Y273" s="69">
        <f ca="1">Table24[[#This Row],[End Date]]+2-TODAY()</f>
        <v>-45775</v>
      </c>
      <c r="Z273" s="15">
        <f>IF(ISBLANK(Table24[[#This Row],[Roster Received By]]),1,0)</f>
        <v>1</v>
      </c>
      <c r="AA273" s="15">
        <f ca="1">IF(Table24[[#This Row],[Start Date]]&gt;TODAY(),1,)</f>
        <v>0</v>
      </c>
    </row>
    <row r="274" spans="1:27" s="103" customFormat="1" ht="15.75" customHeight="1" x14ac:dyDescent="0.25">
      <c r="A274" s="61"/>
      <c r="B274" s="113"/>
      <c r="C274" s="97" t="e">
        <v>#N/A</v>
      </c>
      <c r="D274" s="97" t="e">
        <v>#N/A</v>
      </c>
      <c r="E274" s="64"/>
      <c r="F274" s="99"/>
      <c r="G274" s="99"/>
      <c r="H274" s="102"/>
      <c r="I274" s="98"/>
      <c r="J274" s="98"/>
      <c r="K274" s="98"/>
      <c r="L274" s="98"/>
      <c r="M274" s="98"/>
      <c r="N274" s="98"/>
      <c r="O274" s="96"/>
      <c r="P274" s="96"/>
      <c r="Q274" s="15" t="e">
        <v>#N/A</v>
      </c>
      <c r="R274" s="15" t="e">
        <v>#N/A</v>
      </c>
      <c r="S274" s="15"/>
      <c r="T274" s="100"/>
      <c r="U274" s="15"/>
      <c r="V274" s="15"/>
      <c r="W274" s="15"/>
      <c r="X274" s="96"/>
      <c r="Y274" s="69">
        <f ca="1">Table24[[#This Row],[End Date]]+2-TODAY()</f>
        <v>-45775</v>
      </c>
      <c r="Z274" s="15">
        <f>IF(ISBLANK(Table24[[#This Row],[Roster Received By]]),1,0)</f>
        <v>1</v>
      </c>
      <c r="AA274" s="15">
        <f ca="1">IF(Table24[[#This Row],[Start Date]]&gt;TODAY(),1,)</f>
        <v>0</v>
      </c>
    </row>
    <row r="275" spans="1:27" s="103" customFormat="1" ht="15.75" customHeight="1" x14ac:dyDescent="0.25">
      <c r="A275" s="96"/>
      <c r="B275" s="113"/>
      <c r="C275" s="97" t="e">
        <v>#N/A</v>
      </c>
      <c r="D275" s="97" t="e">
        <v>#N/A</v>
      </c>
      <c r="E275" s="96"/>
      <c r="F275" s="99"/>
      <c r="G275" s="99"/>
      <c r="H275" s="102"/>
      <c r="I275" s="102"/>
      <c r="J275" s="99"/>
      <c r="K275" s="99"/>
      <c r="L275" s="99"/>
      <c r="M275" s="99"/>
      <c r="N275" s="99"/>
      <c r="O275" s="96"/>
      <c r="P275" s="96"/>
      <c r="Q275" s="15" t="e">
        <v>#N/A</v>
      </c>
      <c r="R275" s="15" t="e">
        <v>#N/A</v>
      </c>
      <c r="S275" s="15"/>
      <c r="T275" s="100"/>
      <c r="U275" s="15"/>
      <c r="V275" s="15"/>
      <c r="W275" s="97"/>
      <c r="X275" s="96"/>
      <c r="Y275" s="69">
        <f ca="1">Table24[[#This Row],[End Date]]+2-TODAY()</f>
        <v>-45775</v>
      </c>
      <c r="Z275" s="15">
        <f>IF(ISBLANK(Table24[[#This Row],[Roster Received By]]),1,0)</f>
        <v>1</v>
      </c>
      <c r="AA275" s="15">
        <f ca="1">IF(Table24[[#This Row],[Start Date]]&gt;TODAY(),1,)</f>
        <v>0</v>
      </c>
    </row>
    <row r="276" spans="1:27" s="103" customFormat="1" ht="15.75" customHeight="1" x14ac:dyDescent="0.25">
      <c r="A276" s="61"/>
      <c r="B276" s="113"/>
      <c r="C276" s="97" t="e">
        <v>#N/A</v>
      </c>
      <c r="D276" s="97" t="e">
        <v>#N/A</v>
      </c>
      <c r="E276" s="64"/>
      <c r="F276" s="66"/>
      <c r="G276" s="99"/>
      <c r="H276" s="102"/>
      <c r="I276" s="102"/>
      <c r="J276" s="99"/>
      <c r="K276" s="99"/>
      <c r="L276" s="99"/>
      <c r="M276" s="99"/>
      <c r="N276" s="99"/>
      <c r="O276" s="96"/>
      <c r="P276" s="96"/>
      <c r="Q276" s="15" t="e">
        <v>#N/A</v>
      </c>
      <c r="R276" s="15" t="e">
        <v>#N/A</v>
      </c>
      <c r="S276" s="15"/>
      <c r="T276" s="100"/>
      <c r="U276" s="15"/>
      <c r="V276" s="15"/>
      <c r="W276" s="15"/>
      <c r="X276" s="96"/>
      <c r="Y276" s="69">
        <f ca="1">Table24[[#This Row],[End Date]]+2-TODAY()</f>
        <v>-45775</v>
      </c>
      <c r="Z276" s="15">
        <f>IF(ISBLANK(Table24[[#This Row],[Roster Received By]]),1,0)</f>
        <v>1</v>
      </c>
      <c r="AA276" s="15">
        <f ca="1">IF(Table24[[#This Row],[Start Date]]&gt;TODAY(),1,)</f>
        <v>0</v>
      </c>
    </row>
    <row r="277" spans="1:27" s="103" customFormat="1" ht="15.75" customHeight="1" x14ac:dyDescent="0.25">
      <c r="A277" s="96"/>
      <c r="B277" s="113"/>
      <c r="C277" s="97" t="e">
        <v>#N/A</v>
      </c>
      <c r="D277" s="97" t="e">
        <v>#N/A</v>
      </c>
      <c r="E277" s="96"/>
      <c r="F277" s="99"/>
      <c r="G277" s="99"/>
      <c r="H277" s="99"/>
      <c r="I277" s="98"/>
      <c r="J277" s="98"/>
      <c r="K277" s="98"/>
      <c r="L277" s="98"/>
      <c r="M277" s="98"/>
      <c r="N277" s="98"/>
      <c r="O277" s="96"/>
      <c r="P277" s="96"/>
      <c r="Q277" s="15" t="e">
        <v>#N/A</v>
      </c>
      <c r="R277" s="15" t="e">
        <v>#N/A</v>
      </c>
      <c r="S277" s="15"/>
      <c r="T277" s="100"/>
      <c r="U277" s="15"/>
      <c r="V277" s="15"/>
      <c r="W277" s="15"/>
      <c r="X277" s="96"/>
      <c r="Y277" s="69">
        <f ca="1">Table24[[#This Row],[End Date]]+2-TODAY()</f>
        <v>-45775</v>
      </c>
      <c r="Z277" s="15">
        <f>IF(ISBLANK(Table24[[#This Row],[Roster Received By]]),1,0)</f>
        <v>1</v>
      </c>
      <c r="AA277" s="15">
        <f ca="1">IF(Table24[[#This Row],[Start Date]]&gt;TODAY(),1,)</f>
        <v>0</v>
      </c>
    </row>
    <row r="278" spans="1:27" s="103" customFormat="1" ht="15.75" customHeight="1" x14ac:dyDescent="0.25">
      <c r="A278" s="61"/>
      <c r="B278" s="114"/>
      <c r="C278" s="97" t="e">
        <v>#N/A</v>
      </c>
      <c r="D278" s="97" t="e">
        <v>#N/A</v>
      </c>
      <c r="E278" s="96"/>
      <c r="F278" s="99"/>
      <c r="G278" s="99"/>
      <c r="H278" s="99"/>
      <c r="I278" s="98"/>
      <c r="J278" s="98"/>
      <c r="K278" s="98"/>
      <c r="L278" s="98"/>
      <c r="M278" s="98"/>
      <c r="N278" s="98"/>
      <c r="O278" s="96"/>
      <c r="P278" s="96"/>
      <c r="Q278" s="15" t="e">
        <v>#N/A</v>
      </c>
      <c r="R278" s="15" t="e">
        <v>#N/A</v>
      </c>
      <c r="S278" s="15"/>
      <c r="T278" s="100"/>
      <c r="U278" s="15"/>
      <c r="V278" s="15"/>
      <c r="W278" s="15"/>
      <c r="X278" s="96"/>
      <c r="Y278" s="69">
        <f ca="1">Table24[[#This Row],[End Date]]+2-TODAY()</f>
        <v>-45775</v>
      </c>
      <c r="Z278" s="15">
        <f>IF(ISBLANK(Table24[[#This Row],[Roster Received By]]),1,0)</f>
        <v>1</v>
      </c>
      <c r="AA278" s="15">
        <f ca="1">IF(Table24[[#This Row],[Start Date]]&gt;TODAY(),1,)</f>
        <v>0</v>
      </c>
    </row>
    <row r="279" spans="1:27" s="103" customFormat="1" ht="15.75" customHeight="1" x14ac:dyDescent="0.25">
      <c r="A279" s="61"/>
      <c r="B279" s="114"/>
      <c r="C279" s="97" t="e">
        <v>#N/A</v>
      </c>
      <c r="D279" s="97" t="e">
        <v>#N/A</v>
      </c>
      <c r="E279" s="96"/>
      <c r="F279" s="99"/>
      <c r="G279" s="99"/>
      <c r="H279" s="99"/>
      <c r="I279" s="98"/>
      <c r="J279" s="98"/>
      <c r="K279" s="98"/>
      <c r="L279" s="98"/>
      <c r="M279" s="98"/>
      <c r="N279" s="98"/>
      <c r="O279" s="96"/>
      <c r="P279" s="96"/>
      <c r="Q279" s="15" t="e">
        <v>#N/A</v>
      </c>
      <c r="R279" s="15" t="e">
        <v>#N/A</v>
      </c>
      <c r="S279" s="15"/>
      <c r="T279" s="100"/>
      <c r="U279" s="15"/>
      <c r="V279" s="15"/>
      <c r="W279" s="104"/>
      <c r="X279" s="96"/>
      <c r="Y279" s="69">
        <f ca="1">Table24[[#This Row],[End Date]]+2-TODAY()</f>
        <v>-45775</v>
      </c>
      <c r="Z279" s="15">
        <f>IF(ISBLANK(Table24[[#This Row],[Roster Received By]]),1,0)</f>
        <v>1</v>
      </c>
      <c r="AA279" s="15">
        <f ca="1">IF(Table24[[#This Row],[Start Date]]&gt;TODAY(),1,)</f>
        <v>0</v>
      </c>
    </row>
    <row r="280" spans="1:27" s="103" customFormat="1" ht="15.75" customHeight="1" x14ac:dyDescent="0.25">
      <c r="A280" s="61"/>
      <c r="B280" s="114"/>
      <c r="C280" s="97" t="e">
        <v>#N/A</v>
      </c>
      <c r="D280" s="97" t="e">
        <v>#N/A</v>
      </c>
      <c r="E280" s="96"/>
      <c r="F280" s="99"/>
      <c r="G280" s="99"/>
      <c r="H280" s="102"/>
      <c r="I280" s="102"/>
      <c r="J280" s="102"/>
      <c r="K280" s="102"/>
      <c r="L280" s="102"/>
      <c r="M280" s="102"/>
      <c r="N280" s="99"/>
      <c r="O280" s="96"/>
      <c r="P280" s="96"/>
      <c r="Q280" s="15" t="e">
        <v>#N/A</v>
      </c>
      <c r="R280" s="15" t="e">
        <v>#N/A</v>
      </c>
      <c r="S280" s="15"/>
      <c r="T280" s="100"/>
      <c r="U280" s="15"/>
      <c r="V280" s="15"/>
      <c r="W280" s="15"/>
      <c r="X280" s="96"/>
      <c r="Y280" s="69">
        <f ca="1">Table24[[#This Row],[End Date]]+2-TODAY()</f>
        <v>-45775</v>
      </c>
      <c r="Z280" s="15">
        <f>IF(ISBLANK(Table24[[#This Row],[Roster Received By]]),1,0)</f>
        <v>1</v>
      </c>
      <c r="AA280" s="15">
        <f ca="1">IF(Table24[[#This Row],[Start Date]]&gt;TODAY(),1,)</f>
        <v>0</v>
      </c>
    </row>
    <row r="281" spans="1:27" s="61" customFormat="1" x14ac:dyDescent="0.25">
      <c r="B281" s="113"/>
      <c r="C281" s="97" t="e">
        <v>#N/A</v>
      </c>
      <c r="D281" s="97" t="e">
        <v>#N/A</v>
      </c>
      <c r="E281" s="96"/>
      <c r="F281" s="99"/>
      <c r="G281" s="99"/>
      <c r="H281" s="99"/>
      <c r="I281" s="98"/>
      <c r="J281" s="98"/>
      <c r="K281" s="98"/>
      <c r="L281" s="98"/>
      <c r="M281" s="98"/>
      <c r="N281" s="98"/>
      <c r="O281" s="96"/>
      <c r="P281" s="96"/>
      <c r="Q281" s="15" t="e">
        <v>#N/A</v>
      </c>
      <c r="R281" s="15" t="e">
        <v>#N/A</v>
      </c>
      <c r="S281" s="15"/>
      <c r="T281" s="100"/>
      <c r="U281" s="15"/>
      <c r="V281" s="15"/>
      <c r="W281" s="15"/>
      <c r="X281" s="96"/>
      <c r="Y281" s="69">
        <f ca="1">Table24[[#This Row],[End Date]]+2-TODAY()</f>
        <v>-45775</v>
      </c>
      <c r="Z281" s="15">
        <f>IF(ISBLANK(Table24[[#This Row],[Roster Received By]]),1,0)</f>
        <v>1</v>
      </c>
      <c r="AA281" s="15">
        <f ca="1">IF(Table24[[#This Row],[Start Date]]&gt;TODAY(),1,)</f>
        <v>0</v>
      </c>
    </row>
    <row r="282" spans="1:27" s="61" customFormat="1" x14ac:dyDescent="0.25">
      <c r="B282" s="113"/>
      <c r="C282" s="97" t="e">
        <v>#N/A</v>
      </c>
      <c r="D282" s="97" t="e">
        <v>#N/A</v>
      </c>
      <c r="E282" s="96"/>
      <c r="F282" s="99"/>
      <c r="G282" s="99"/>
      <c r="H282" s="99"/>
      <c r="I282" s="98"/>
      <c r="J282" s="98"/>
      <c r="K282" s="98"/>
      <c r="L282" s="98"/>
      <c r="M282" s="98"/>
      <c r="N282" s="98"/>
      <c r="O282" s="96"/>
      <c r="P282" s="96"/>
      <c r="Q282" s="15" t="e">
        <v>#N/A</v>
      </c>
      <c r="R282" s="15" t="e">
        <v>#N/A</v>
      </c>
      <c r="S282" s="15"/>
      <c r="T282" s="100"/>
      <c r="U282" s="15"/>
      <c r="V282" s="15"/>
      <c r="W282" s="15"/>
      <c r="X282" s="96"/>
      <c r="Y282" s="69">
        <f ca="1">Table24[[#This Row],[End Date]]+2-TODAY()</f>
        <v>-45775</v>
      </c>
      <c r="Z282" s="15">
        <f>IF(ISBLANK(Table24[[#This Row],[Roster Received By]]),1,0)</f>
        <v>1</v>
      </c>
      <c r="AA282" s="15">
        <f ca="1">IF(Table24[[#This Row],[Start Date]]&gt;TODAY(),1,)</f>
        <v>0</v>
      </c>
    </row>
    <row r="283" spans="1:27" s="61" customFormat="1" x14ac:dyDescent="0.25">
      <c r="B283" s="114"/>
      <c r="C283" s="97" t="e">
        <v>#N/A</v>
      </c>
      <c r="D283" s="97" t="e">
        <v>#N/A</v>
      </c>
      <c r="E283" s="96"/>
      <c r="F283" s="99"/>
      <c r="G283" s="99"/>
      <c r="H283" s="99"/>
      <c r="I283" s="98"/>
      <c r="J283" s="98"/>
      <c r="K283" s="98"/>
      <c r="L283" s="98"/>
      <c r="M283" s="98"/>
      <c r="N283" s="98"/>
      <c r="O283" s="96"/>
      <c r="P283" s="96"/>
      <c r="Q283" s="15" t="e">
        <v>#N/A</v>
      </c>
      <c r="R283" s="15" t="e">
        <v>#N/A</v>
      </c>
      <c r="S283" s="15"/>
      <c r="T283" s="100"/>
      <c r="U283" s="15"/>
      <c r="V283" s="15"/>
      <c r="W283" s="15"/>
      <c r="X283" s="96"/>
      <c r="Y283" s="69">
        <f ca="1">Table24[[#This Row],[End Date]]+2-TODAY()</f>
        <v>-45775</v>
      </c>
      <c r="Z283" s="15">
        <f>IF(ISBLANK(Table24[[#This Row],[Roster Received By]]),1,0)</f>
        <v>1</v>
      </c>
      <c r="AA283" s="15">
        <f ca="1">IF(Table24[[#This Row],[Start Date]]&gt;TODAY(),1,)</f>
        <v>0</v>
      </c>
    </row>
    <row r="284" spans="1:27" s="61" customFormat="1" x14ac:dyDescent="0.25">
      <c r="B284" s="114"/>
      <c r="C284" s="97" t="e">
        <v>#N/A</v>
      </c>
      <c r="D284" s="97" t="e">
        <v>#N/A</v>
      </c>
      <c r="E284" s="96"/>
      <c r="F284" s="66"/>
      <c r="G284" s="66"/>
      <c r="H284" s="66"/>
      <c r="I284" s="98"/>
      <c r="J284" s="98"/>
      <c r="K284" s="98"/>
      <c r="L284" s="98"/>
      <c r="M284" s="98"/>
      <c r="N284" s="98"/>
      <c r="O284" s="96"/>
      <c r="P284" s="96"/>
      <c r="Q284" s="15" t="e">
        <v>#N/A</v>
      </c>
      <c r="R284" s="15" t="e">
        <v>#N/A</v>
      </c>
      <c r="S284" s="15"/>
      <c r="T284" s="100"/>
      <c r="U284" s="15"/>
      <c r="V284" s="15"/>
      <c r="W284" s="100"/>
      <c r="X284" s="96"/>
      <c r="Y284" s="69">
        <f ca="1">Table24[[#This Row],[End Date]]+2-TODAY()</f>
        <v>-45775</v>
      </c>
      <c r="Z284" s="15">
        <f>IF(ISBLANK(Table24[[#This Row],[Roster Received By]]),1,0)</f>
        <v>1</v>
      </c>
      <c r="AA284" s="15">
        <f ca="1">IF(Table24[[#This Row],[Start Date]]&gt;TODAY(),1,)</f>
        <v>0</v>
      </c>
    </row>
    <row r="285" spans="1:27" s="61" customFormat="1" x14ac:dyDescent="0.25">
      <c r="B285" s="113"/>
      <c r="C285" s="97" t="e">
        <v>#N/A</v>
      </c>
      <c r="D285" s="97" t="e">
        <v>#N/A</v>
      </c>
      <c r="E285" s="96"/>
      <c r="F285" s="99"/>
      <c r="G285" s="99"/>
      <c r="H285" s="102"/>
      <c r="I285" s="102"/>
      <c r="J285" s="102"/>
      <c r="K285" s="102"/>
      <c r="L285" s="102"/>
      <c r="M285" s="102"/>
      <c r="N285" s="102"/>
      <c r="O285" s="96"/>
      <c r="P285" s="96"/>
      <c r="Q285" s="15" t="e">
        <v>#N/A</v>
      </c>
      <c r="R285" s="15" t="e">
        <v>#N/A</v>
      </c>
      <c r="S285" s="15"/>
      <c r="T285" s="100"/>
      <c r="U285" s="15"/>
      <c r="V285" s="15"/>
      <c r="W285" s="15"/>
      <c r="X285" s="96"/>
      <c r="Y285" s="69">
        <f ca="1">Table24[[#This Row],[End Date]]+2-TODAY()</f>
        <v>-45775</v>
      </c>
      <c r="Z285" s="15">
        <f>IF(ISBLANK(Table24[[#This Row],[Roster Received By]]),1,0)</f>
        <v>1</v>
      </c>
      <c r="AA285" s="15">
        <f ca="1">IF(Table24[[#This Row],[Start Date]]&gt;TODAY(),1,)</f>
        <v>0</v>
      </c>
    </row>
    <row r="286" spans="1:27" s="61" customFormat="1" x14ac:dyDescent="0.25">
      <c r="B286" s="113"/>
      <c r="C286" s="97" t="e">
        <v>#N/A</v>
      </c>
      <c r="D286" s="97" t="e">
        <v>#N/A</v>
      </c>
      <c r="E286" s="96"/>
      <c r="F286" s="66"/>
      <c r="G286" s="99"/>
      <c r="H286" s="99"/>
      <c r="I286" s="98"/>
      <c r="J286" s="98"/>
      <c r="K286" s="98"/>
      <c r="L286" s="98"/>
      <c r="M286" s="98"/>
      <c r="N286" s="98"/>
      <c r="O286" s="96"/>
      <c r="P286" s="96"/>
      <c r="Q286" s="15" t="e">
        <v>#N/A</v>
      </c>
      <c r="R286" s="15" t="e">
        <v>#N/A</v>
      </c>
      <c r="S286" s="15"/>
      <c r="T286" s="100"/>
      <c r="U286" s="15"/>
      <c r="V286" s="15"/>
      <c r="W286" s="15"/>
      <c r="X286" s="96"/>
      <c r="Y286" s="69">
        <f ca="1">Table24[[#This Row],[End Date]]+2-TODAY()</f>
        <v>-45775</v>
      </c>
      <c r="Z286" s="15">
        <f>IF(ISBLANK(Table24[[#This Row],[Roster Received By]]),1,0)</f>
        <v>1</v>
      </c>
      <c r="AA286" s="15">
        <f ca="1">IF(Table24[[#This Row],[Start Date]]&gt;TODAY(),1,)</f>
        <v>0</v>
      </c>
    </row>
    <row r="287" spans="1:27" s="61" customFormat="1" x14ac:dyDescent="0.25">
      <c r="B287" s="114"/>
      <c r="C287" s="97" t="e">
        <v>#N/A</v>
      </c>
      <c r="D287" s="97" t="e">
        <v>#N/A</v>
      </c>
      <c r="E287" s="96"/>
      <c r="F287" s="99"/>
      <c r="G287" s="99"/>
      <c r="H287" s="102"/>
      <c r="I287" s="102"/>
      <c r="J287" s="99"/>
      <c r="K287" s="99"/>
      <c r="L287" s="99"/>
      <c r="M287" s="99"/>
      <c r="N287" s="99"/>
      <c r="O287" s="96"/>
      <c r="P287" s="96"/>
      <c r="Q287" s="15" t="e">
        <v>#N/A</v>
      </c>
      <c r="R287" s="15" t="e">
        <v>#N/A</v>
      </c>
      <c r="S287" s="15"/>
      <c r="T287" s="100"/>
      <c r="U287" s="15"/>
      <c r="V287" s="15"/>
      <c r="W287" s="15"/>
      <c r="X287" s="96"/>
      <c r="Y287" s="69">
        <f ca="1">Table24[[#This Row],[End Date]]+2-TODAY()</f>
        <v>-45775</v>
      </c>
      <c r="Z287" s="15">
        <f>IF(ISBLANK(Table24[[#This Row],[Roster Received By]]),1,0)</f>
        <v>1</v>
      </c>
      <c r="AA287" s="15">
        <f ca="1">IF(Table24[[#This Row],[Start Date]]&gt;TODAY(),1,)</f>
        <v>0</v>
      </c>
    </row>
    <row r="288" spans="1:27" s="61" customFormat="1" x14ac:dyDescent="0.25">
      <c r="A288" s="64"/>
      <c r="B288" s="114"/>
      <c r="C288" s="97" t="e">
        <v>#N/A</v>
      </c>
      <c r="D288" s="97" t="e">
        <v>#N/A</v>
      </c>
      <c r="E288" s="64"/>
      <c r="F288" s="99"/>
      <c r="G288" s="99"/>
      <c r="H288" s="102"/>
      <c r="I288" s="102"/>
      <c r="J288" s="99"/>
      <c r="K288" s="99"/>
      <c r="L288" s="99"/>
      <c r="M288" s="99"/>
      <c r="N288" s="99"/>
      <c r="O288" s="96"/>
      <c r="P288" s="96"/>
      <c r="Q288" s="15" t="e">
        <v>#N/A</v>
      </c>
      <c r="R288" s="15" t="e">
        <v>#N/A</v>
      </c>
      <c r="S288" s="15"/>
      <c r="T288" s="100"/>
      <c r="U288" s="15"/>
      <c r="V288" s="15"/>
      <c r="W288" s="15"/>
      <c r="X288" s="96"/>
      <c r="Y288" s="69">
        <f ca="1">Table24[[#This Row],[End Date]]+2-TODAY()</f>
        <v>-45775</v>
      </c>
      <c r="Z288" s="15">
        <f>IF(ISBLANK(Table24[[#This Row],[Roster Received By]]),1,0)</f>
        <v>1</v>
      </c>
      <c r="AA288" s="15">
        <f ca="1">IF(Table24[[#This Row],[Start Date]]&gt;TODAY(),1,)</f>
        <v>0</v>
      </c>
    </row>
    <row r="289" spans="2:27" s="61" customFormat="1" x14ac:dyDescent="0.25">
      <c r="B289" s="113"/>
      <c r="C289" s="97" t="e">
        <v>#N/A</v>
      </c>
      <c r="D289" s="97" t="e">
        <v>#N/A</v>
      </c>
      <c r="E289" s="96"/>
      <c r="F289" s="99"/>
      <c r="G289" s="99"/>
      <c r="H289" s="102"/>
      <c r="I289" s="102"/>
      <c r="J289" s="102"/>
      <c r="K289" s="102"/>
      <c r="L289" s="102"/>
      <c r="M289" s="102"/>
      <c r="N289" s="99"/>
      <c r="O289" s="96"/>
      <c r="P289" s="96"/>
      <c r="Q289" s="15" t="e">
        <v>#N/A</v>
      </c>
      <c r="R289" s="15" t="e">
        <v>#N/A</v>
      </c>
      <c r="S289" s="15"/>
      <c r="T289" s="100"/>
      <c r="U289" s="15"/>
      <c r="V289" s="15"/>
      <c r="W289" s="15"/>
      <c r="X289" s="96"/>
      <c r="Y289" s="69">
        <f ca="1">Table24[[#This Row],[End Date]]+2-TODAY()</f>
        <v>-45775</v>
      </c>
      <c r="Z289" s="15">
        <f>IF(ISBLANK(Table24[[#This Row],[Roster Received By]]),1,0)</f>
        <v>1</v>
      </c>
      <c r="AA289" s="15">
        <f ca="1">IF(Table24[[#This Row],[Start Date]]&gt;TODAY(),1,)</f>
        <v>0</v>
      </c>
    </row>
    <row r="290" spans="2:27" s="61" customFormat="1" x14ac:dyDescent="0.25">
      <c r="B290" s="113"/>
      <c r="C290" s="97" t="e">
        <v>#N/A</v>
      </c>
      <c r="D290" s="97" t="e">
        <v>#N/A</v>
      </c>
      <c r="E290" s="96"/>
      <c r="F290" s="99"/>
      <c r="G290" s="99"/>
      <c r="H290" s="102"/>
      <c r="I290" s="102"/>
      <c r="J290" s="102"/>
      <c r="K290" s="102"/>
      <c r="L290" s="102"/>
      <c r="M290" s="102"/>
      <c r="N290" s="99"/>
      <c r="O290" s="96"/>
      <c r="P290" s="96"/>
      <c r="Q290" s="15" t="e">
        <v>#N/A</v>
      </c>
      <c r="R290" s="15" t="e">
        <v>#N/A</v>
      </c>
      <c r="S290" s="15"/>
      <c r="T290" s="100"/>
      <c r="U290" s="15"/>
      <c r="V290" s="15"/>
      <c r="W290" s="97"/>
      <c r="X290" s="96"/>
      <c r="Y290" s="69">
        <f ca="1">Table24[[#This Row],[End Date]]+2-TODAY()</f>
        <v>-45775</v>
      </c>
      <c r="Z290" s="15">
        <f>IF(ISBLANK(Table24[[#This Row],[Roster Received By]]),1,0)</f>
        <v>1</v>
      </c>
      <c r="AA290" s="15">
        <f ca="1">IF(Table24[[#This Row],[Start Date]]&gt;TODAY(),1,)</f>
        <v>0</v>
      </c>
    </row>
    <row r="291" spans="2:27" s="61" customFormat="1" x14ac:dyDescent="0.25">
      <c r="B291" s="113"/>
      <c r="C291" s="97" t="e">
        <v>#N/A</v>
      </c>
      <c r="D291" s="97" t="e">
        <v>#N/A</v>
      </c>
      <c r="E291" s="96"/>
      <c r="F291" s="99"/>
      <c r="G291" s="99"/>
      <c r="H291" s="99"/>
      <c r="I291" s="98"/>
      <c r="J291" s="98"/>
      <c r="K291" s="98"/>
      <c r="L291" s="98"/>
      <c r="M291" s="98"/>
      <c r="N291" s="98"/>
      <c r="O291" s="96"/>
      <c r="P291" s="96"/>
      <c r="Q291" s="15" t="e">
        <v>#N/A</v>
      </c>
      <c r="R291" s="15" t="e">
        <v>#N/A</v>
      </c>
      <c r="S291" s="15"/>
      <c r="T291" s="100"/>
      <c r="U291" s="15"/>
      <c r="V291" s="15"/>
      <c r="W291" s="15"/>
      <c r="X291" s="96"/>
      <c r="Y291" s="69">
        <f ca="1">Table24[[#This Row],[End Date]]+2-TODAY()</f>
        <v>-45775</v>
      </c>
      <c r="Z291" s="15">
        <f>IF(ISBLANK(Table24[[#This Row],[Roster Received By]]),1,0)</f>
        <v>1</v>
      </c>
      <c r="AA291" s="15">
        <f ca="1">IF(Table24[[#This Row],[Start Date]]&gt;TODAY(),1,)</f>
        <v>0</v>
      </c>
    </row>
    <row r="292" spans="2:27" s="61" customFormat="1" x14ac:dyDescent="0.25">
      <c r="B292" s="113"/>
      <c r="C292" s="97" t="e">
        <v>#N/A</v>
      </c>
      <c r="D292" s="97" t="e">
        <v>#N/A</v>
      </c>
      <c r="E292" s="96"/>
      <c r="F292" s="99"/>
      <c r="G292" s="99"/>
      <c r="H292" s="99"/>
      <c r="I292" s="98"/>
      <c r="J292" s="98"/>
      <c r="K292" s="98"/>
      <c r="L292" s="98"/>
      <c r="M292" s="98"/>
      <c r="N292" s="98"/>
      <c r="O292" s="96"/>
      <c r="P292" s="96"/>
      <c r="Q292" s="15" t="e">
        <v>#N/A</v>
      </c>
      <c r="R292" s="15" t="e">
        <v>#N/A</v>
      </c>
      <c r="S292" s="15"/>
      <c r="T292" s="100"/>
      <c r="U292" s="15"/>
      <c r="V292" s="15"/>
      <c r="W292" s="15"/>
      <c r="X292" s="96"/>
      <c r="Y292" s="69">
        <f ca="1">Table24[[#This Row],[End Date]]+2-TODAY()</f>
        <v>-45775</v>
      </c>
      <c r="Z292" s="15">
        <f>IF(ISBLANK(Table24[[#This Row],[Roster Received By]]),1,0)</f>
        <v>1</v>
      </c>
      <c r="AA292" s="15">
        <f ca="1">IF(Table24[[#This Row],[Start Date]]&gt;TODAY(),1,)</f>
        <v>0</v>
      </c>
    </row>
    <row r="293" spans="2:27" s="61" customFormat="1" x14ac:dyDescent="0.25">
      <c r="B293" s="113"/>
      <c r="C293" s="97" t="e">
        <v>#N/A</v>
      </c>
      <c r="D293" s="97" t="e">
        <v>#N/A</v>
      </c>
      <c r="E293" s="96"/>
      <c r="F293" s="99"/>
      <c r="G293" s="99"/>
      <c r="H293" s="99"/>
      <c r="I293" s="98"/>
      <c r="J293" s="98"/>
      <c r="K293" s="98"/>
      <c r="L293" s="98"/>
      <c r="M293" s="98"/>
      <c r="N293" s="98"/>
      <c r="O293" s="96"/>
      <c r="P293" s="96"/>
      <c r="Q293" s="15" t="e">
        <v>#N/A</v>
      </c>
      <c r="R293" s="15" t="e">
        <v>#N/A</v>
      </c>
      <c r="S293" s="15"/>
      <c r="T293" s="100"/>
      <c r="U293" s="15"/>
      <c r="V293" s="15"/>
      <c r="W293" s="15"/>
      <c r="X293" s="96"/>
      <c r="Y293" s="69">
        <f ca="1">Table24[[#This Row],[End Date]]+2-TODAY()</f>
        <v>-45775</v>
      </c>
      <c r="Z293" s="15">
        <f>IF(ISBLANK(Table24[[#This Row],[Roster Received By]]),1,0)</f>
        <v>1</v>
      </c>
      <c r="AA293" s="15">
        <f ca="1">IF(Table24[[#This Row],[Start Date]]&gt;TODAY(),1,)</f>
        <v>0</v>
      </c>
    </row>
    <row r="294" spans="2:27" s="61" customFormat="1" x14ac:dyDescent="0.25">
      <c r="B294" s="113"/>
      <c r="C294" s="97" t="e">
        <v>#N/A</v>
      </c>
      <c r="D294" s="97" t="e">
        <v>#N/A</v>
      </c>
      <c r="E294" s="96"/>
      <c r="F294" s="99"/>
      <c r="G294" s="99"/>
      <c r="H294" s="99"/>
      <c r="I294" s="98"/>
      <c r="J294" s="98"/>
      <c r="K294" s="98"/>
      <c r="L294" s="98"/>
      <c r="M294" s="98"/>
      <c r="N294" s="98"/>
      <c r="O294" s="96"/>
      <c r="P294" s="96"/>
      <c r="Q294" s="15" t="e">
        <v>#N/A</v>
      </c>
      <c r="R294" s="15" t="e">
        <v>#N/A</v>
      </c>
      <c r="S294" s="15"/>
      <c r="T294" s="100"/>
      <c r="U294" s="15"/>
      <c r="V294" s="15"/>
      <c r="W294" s="15"/>
      <c r="X294" s="96"/>
      <c r="Y294" s="69">
        <f ca="1">Table24[[#This Row],[End Date]]+2-TODAY()</f>
        <v>-45775</v>
      </c>
      <c r="Z294" s="15">
        <f>IF(ISBLANK(Table24[[#This Row],[Roster Received By]]),1,0)</f>
        <v>1</v>
      </c>
      <c r="AA294" s="15">
        <f ca="1">IF(Table24[[#This Row],[Start Date]]&gt;TODAY(),1,)</f>
        <v>0</v>
      </c>
    </row>
    <row r="295" spans="2:27" s="61" customFormat="1" x14ac:dyDescent="0.25">
      <c r="B295" s="114"/>
      <c r="C295" s="97" t="e">
        <v>#N/A</v>
      </c>
      <c r="D295" s="97" t="e">
        <v>#N/A</v>
      </c>
      <c r="E295" s="96"/>
      <c r="F295" s="99"/>
      <c r="G295" s="99"/>
      <c r="H295" s="99"/>
      <c r="I295" s="98"/>
      <c r="J295" s="98"/>
      <c r="K295" s="98"/>
      <c r="L295" s="98"/>
      <c r="M295" s="98"/>
      <c r="N295" s="98"/>
      <c r="O295" s="96"/>
      <c r="P295" s="96"/>
      <c r="Q295" s="15" t="e">
        <v>#N/A</v>
      </c>
      <c r="R295" s="15" t="e">
        <v>#N/A</v>
      </c>
      <c r="S295" s="15"/>
      <c r="T295" s="100"/>
      <c r="U295" s="15"/>
      <c r="V295" s="15"/>
      <c r="W295" s="15"/>
      <c r="X295" s="96"/>
      <c r="Y295" s="69">
        <f ca="1">Table24[[#This Row],[End Date]]+2-TODAY()</f>
        <v>-45775</v>
      </c>
      <c r="Z295" s="15">
        <f>IF(ISBLANK(Table24[[#This Row],[Roster Received By]]),1,0)</f>
        <v>1</v>
      </c>
      <c r="AA295" s="15">
        <f ca="1">IF(Table24[[#This Row],[Start Date]]&gt;TODAY(),1,)</f>
        <v>0</v>
      </c>
    </row>
    <row r="296" spans="2:27" s="61" customFormat="1" x14ac:dyDescent="0.25">
      <c r="B296" s="114"/>
      <c r="C296" s="97" t="e">
        <v>#N/A</v>
      </c>
      <c r="D296" s="97" t="e">
        <v>#N/A</v>
      </c>
      <c r="E296" s="96"/>
      <c r="F296" s="99"/>
      <c r="G296" s="99"/>
      <c r="H296" s="105"/>
      <c r="I296" s="105"/>
      <c r="J296" s="99"/>
      <c r="K296" s="99"/>
      <c r="L296" s="99"/>
      <c r="M296" s="99"/>
      <c r="N296" s="99"/>
      <c r="O296" s="96"/>
      <c r="P296" s="96"/>
      <c r="Q296" s="15" t="e">
        <v>#N/A</v>
      </c>
      <c r="R296" s="15" t="e">
        <v>#N/A</v>
      </c>
      <c r="S296" s="15"/>
      <c r="T296" s="100"/>
      <c r="U296" s="15"/>
      <c r="V296" s="15"/>
      <c r="W296" s="15"/>
      <c r="X296" s="96"/>
      <c r="Y296" s="69">
        <f ca="1">Table24[[#This Row],[End Date]]+2-TODAY()</f>
        <v>-45775</v>
      </c>
      <c r="Z296" s="15">
        <f>IF(ISBLANK(Table24[[#This Row],[Roster Received By]]),1,0)</f>
        <v>1</v>
      </c>
      <c r="AA296" s="15">
        <f ca="1">IF(Table24[[#This Row],[Start Date]]&gt;TODAY(),1,)</f>
        <v>0</v>
      </c>
    </row>
    <row r="297" spans="2:27" s="61" customFormat="1" x14ac:dyDescent="0.25">
      <c r="B297" s="114"/>
      <c r="C297" s="97" t="e">
        <v>#N/A</v>
      </c>
      <c r="D297" s="97" t="e">
        <v>#N/A</v>
      </c>
      <c r="E297" s="96"/>
      <c r="F297" s="99"/>
      <c r="G297" s="99"/>
      <c r="H297" s="99"/>
      <c r="I297" s="98"/>
      <c r="J297" s="98"/>
      <c r="K297" s="98"/>
      <c r="L297" s="98"/>
      <c r="M297" s="98"/>
      <c r="N297" s="98"/>
      <c r="O297" s="96"/>
      <c r="P297" s="96"/>
      <c r="Q297" s="15" t="e">
        <v>#N/A</v>
      </c>
      <c r="R297" s="15" t="e">
        <v>#N/A</v>
      </c>
      <c r="S297" s="15"/>
      <c r="T297" s="100"/>
      <c r="U297" s="15"/>
      <c r="V297" s="15"/>
      <c r="W297" s="15"/>
      <c r="X297" s="96"/>
      <c r="Y297" s="69">
        <f ca="1">Table24[[#This Row],[End Date]]+2-TODAY()</f>
        <v>-45775</v>
      </c>
      <c r="Z297" s="15">
        <f>IF(ISBLANK(Table24[[#This Row],[Roster Received By]]),1,0)</f>
        <v>1</v>
      </c>
      <c r="AA297" s="15">
        <f ca="1">IF(Table24[[#This Row],[Start Date]]&gt;TODAY(),1,)</f>
        <v>0</v>
      </c>
    </row>
    <row r="298" spans="2:27" s="61" customFormat="1" x14ac:dyDescent="0.25">
      <c r="B298" s="114"/>
      <c r="C298" s="97" t="e">
        <v>#N/A</v>
      </c>
      <c r="D298" s="97" t="e">
        <v>#N/A</v>
      </c>
      <c r="E298" s="96"/>
      <c r="F298" s="99"/>
      <c r="G298" s="99"/>
      <c r="H298" s="99"/>
      <c r="I298" s="98"/>
      <c r="J298" s="98"/>
      <c r="K298" s="98"/>
      <c r="L298" s="98"/>
      <c r="M298" s="98"/>
      <c r="N298" s="98"/>
      <c r="O298" s="96"/>
      <c r="P298" s="96"/>
      <c r="Q298" s="15" t="e">
        <v>#N/A</v>
      </c>
      <c r="R298" s="15" t="e">
        <v>#N/A</v>
      </c>
      <c r="S298" s="15"/>
      <c r="T298" s="100"/>
      <c r="U298" s="15"/>
      <c r="V298" s="15"/>
      <c r="W298" s="100"/>
      <c r="X298" s="96"/>
      <c r="Y298" s="69">
        <f ca="1">Table24[[#This Row],[End Date]]+2-TODAY()</f>
        <v>-45775</v>
      </c>
      <c r="Z298" s="15">
        <f>IF(ISBLANK(Table24[[#This Row],[Roster Received By]]),1,0)</f>
        <v>1</v>
      </c>
      <c r="AA298" s="15">
        <f ca="1">IF(Table24[[#This Row],[Start Date]]&gt;TODAY(),1,)</f>
        <v>0</v>
      </c>
    </row>
    <row r="299" spans="2:27" s="61" customFormat="1" x14ac:dyDescent="0.25">
      <c r="B299" s="114"/>
      <c r="C299" s="97" t="e">
        <v>#N/A</v>
      </c>
      <c r="D299" s="97" t="e">
        <v>#N/A</v>
      </c>
      <c r="E299" s="96"/>
      <c r="F299" s="99"/>
      <c r="G299" s="99"/>
      <c r="H299" s="102"/>
      <c r="I299" s="102"/>
      <c r="J299" s="99"/>
      <c r="K299" s="99"/>
      <c r="L299" s="99"/>
      <c r="M299" s="99"/>
      <c r="N299" s="99"/>
      <c r="O299" s="96"/>
      <c r="P299" s="96"/>
      <c r="Q299" s="15" t="e">
        <v>#N/A</v>
      </c>
      <c r="R299" s="15" t="e">
        <v>#N/A</v>
      </c>
      <c r="S299" s="100"/>
      <c r="T299" s="100"/>
      <c r="U299" s="15"/>
      <c r="V299" s="15"/>
      <c r="W299" s="97"/>
      <c r="X299" s="96"/>
      <c r="Y299" s="106">
        <f ca="1">Table24[[#This Row],[End Date]]+2-TODAY()</f>
        <v>-45775</v>
      </c>
      <c r="Z299" s="15">
        <f>IF(ISBLANK(Table24[[#This Row],[Roster Received By]]),1,0)</f>
        <v>1</v>
      </c>
      <c r="AA299" s="97">
        <f ca="1">IF(Table24[[#This Row],[Start Date]]&gt;TODAY(),1,)</f>
        <v>0</v>
      </c>
    </row>
    <row r="300" spans="2:27" s="61" customFormat="1" x14ac:dyDescent="0.25">
      <c r="B300" s="114"/>
      <c r="C300" s="97" t="e">
        <v>#N/A</v>
      </c>
      <c r="D300" s="97" t="e">
        <v>#N/A</v>
      </c>
      <c r="E300" s="96"/>
      <c r="F300" s="99"/>
      <c r="G300" s="99"/>
      <c r="H300" s="102"/>
      <c r="I300" s="102"/>
      <c r="J300" s="99"/>
      <c r="K300" s="99"/>
      <c r="L300" s="99"/>
      <c r="M300" s="99"/>
      <c r="N300" s="99"/>
      <c r="O300" s="96"/>
      <c r="P300" s="96"/>
      <c r="Q300" s="15" t="e">
        <v>#N/A</v>
      </c>
      <c r="R300" s="15" t="e">
        <v>#N/A</v>
      </c>
      <c r="S300" s="15"/>
      <c r="T300" s="100"/>
      <c r="U300" s="15"/>
      <c r="V300" s="15"/>
      <c r="W300" s="15"/>
      <c r="X300" s="96"/>
      <c r="Y300" s="69">
        <f ca="1">Table24[[#This Row],[End Date]]+2-TODAY()</f>
        <v>-45775</v>
      </c>
      <c r="Z300" s="15">
        <f>IF(ISBLANK(Table24[[#This Row],[Roster Received By]]),1,0)</f>
        <v>1</v>
      </c>
      <c r="AA300" s="15">
        <f ca="1">IF(Table24[[#This Row],[Start Date]]&gt;TODAY(),1,)</f>
        <v>0</v>
      </c>
    </row>
    <row r="301" spans="2:27" s="61" customFormat="1" x14ac:dyDescent="0.25">
      <c r="B301" s="114"/>
      <c r="C301" s="97" t="e">
        <v>#N/A</v>
      </c>
      <c r="D301" s="97" t="e">
        <v>#N/A</v>
      </c>
      <c r="E301" s="96"/>
      <c r="F301" s="99"/>
      <c r="G301" s="99"/>
      <c r="H301" s="102"/>
      <c r="I301" s="102"/>
      <c r="J301" s="102"/>
      <c r="K301" s="102"/>
      <c r="L301" s="102"/>
      <c r="M301" s="102"/>
      <c r="N301" s="102"/>
      <c r="O301" s="96"/>
      <c r="P301" s="96"/>
      <c r="Q301" s="15" t="e">
        <v>#N/A</v>
      </c>
      <c r="R301" s="15" t="e">
        <v>#N/A</v>
      </c>
      <c r="S301" s="15"/>
      <c r="T301" s="100"/>
      <c r="U301" s="15"/>
      <c r="V301" s="15"/>
      <c r="W301" s="15"/>
      <c r="X301" s="96"/>
      <c r="Y301" s="69">
        <f ca="1">Table24[[#This Row],[End Date]]+2-TODAY()</f>
        <v>-45775</v>
      </c>
      <c r="Z301" s="15">
        <f>IF(ISBLANK(Table24[[#This Row],[Roster Received By]]),1,0)</f>
        <v>1</v>
      </c>
      <c r="AA301" s="15">
        <f ca="1">IF(Table24[[#This Row],[Start Date]]&gt;TODAY(),1,)</f>
        <v>0</v>
      </c>
    </row>
    <row r="302" spans="2:27" s="61" customFormat="1" x14ac:dyDescent="0.25">
      <c r="B302" s="114"/>
      <c r="C302" s="97" t="e">
        <v>#N/A</v>
      </c>
      <c r="D302" s="97" t="e">
        <v>#N/A</v>
      </c>
      <c r="E302" s="96"/>
      <c r="F302" s="66"/>
      <c r="G302" s="99"/>
      <c r="H302" s="99"/>
      <c r="I302" s="98"/>
      <c r="J302" s="98"/>
      <c r="K302" s="98"/>
      <c r="L302" s="98"/>
      <c r="M302" s="98"/>
      <c r="N302" s="98"/>
      <c r="O302" s="96"/>
      <c r="P302" s="96"/>
      <c r="Q302" s="15" t="e">
        <v>#N/A</v>
      </c>
      <c r="R302" s="15" t="e">
        <v>#N/A</v>
      </c>
      <c r="S302" s="15"/>
      <c r="T302" s="100"/>
      <c r="U302" s="15"/>
      <c r="V302" s="15"/>
      <c r="W302" s="15"/>
      <c r="X302" s="96"/>
      <c r="Y302" s="69">
        <f ca="1">Table24[[#This Row],[End Date]]+2-TODAY()</f>
        <v>-45775</v>
      </c>
      <c r="Z302" s="15">
        <f>IF(ISBLANK(Table24[[#This Row],[Roster Received By]]),1,0)</f>
        <v>1</v>
      </c>
      <c r="AA302" s="15">
        <f ca="1">IF(Table24[[#This Row],[Start Date]]&gt;TODAY(),1,)</f>
        <v>0</v>
      </c>
    </row>
    <row r="303" spans="2:27" s="61" customFormat="1" x14ac:dyDescent="0.25">
      <c r="B303" s="114"/>
      <c r="C303" s="97" t="e">
        <v>#N/A</v>
      </c>
      <c r="D303" s="97" t="e">
        <v>#N/A</v>
      </c>
      <c r="E303" s="96"/>
      <c r="F303" s="99"/>
      <c r="G303" s="99"/>
      <c r="H303" s="99"/>
      <c r="I303" s="98"/>
      <c r="J303" s="98"/>
      <c r="K303" s="98"/>
      <c r="L303" s="98"/>
      <c r="M303" s="98"/>
      <c r="N303" s="98"/>
      <c r="O303" s="96"/>
      <c r="P303" s="96"/>
      <c r="Q303" s="15" t="e">
        <v>#N/A</v>
      </c>
      <c r="R303" s="15" t="e">
        <v>#N/A</v>
      </c>
      <c r="S303" s="15"/>
      <c r="T303" s="100"/>
      <c r="U303" s="15"/>
      <c r="V303" s="15"/>
      <c r="W303" s="15"/>
      <c r="X303" s="96"/>
      <c r="Y303" s="69">
        <f ca="1">Table24[[#This Row],[End Date]]+2-TODAY()</f>
        <v>-45775</v>
      </c>
      <c r="Z303" s="15">
        <f>IF(ISBLANK(Table24[[#This Row],[Roster Received By]]),1,0)</f>
        <v>1</v>
      </c>
      <c r="AA303" s="15">
        <f ca="1">IF(Table24[[#This Row],[Start Date]]&gt;TODAY(),1,)</f>
        <v>0</v>
      </c>
    </row>
    <row r="304" spans="2:27" s="61" customFormat="1" x14ac:dyDescent="0.25">
      <c r="B304" s="114"/>
      <c r="C304" s="97" t="e">
        <v>#N/A</v>
      </c>
      <c r="D304" s="97" t="e">
        <v>#N/A</v>
      </c>
      <c r="E304" s="96"/>
      <c r="F304" s="107"/>
      <c r="G304" s="107"/>
      <c r="H304" s="99"/>
      <c r="I304" s="98"/>
      <c r="J304" s="98"/>
      <c r="K304" s="98"/>
      <c r="L304" s="98"/>
      <c r="M304" s="98"/>
      <c r="N304" s="98"/>
      <c r="O304" s="96"/>
      <c r="P304" s="96"/>
      <c r="Q304" s="15" t="e">
        <v>#N/A</v>
      </c>
      <c r="R304" s="15" t="e">
        <v>#N/A</v>
      </c>
      <c r="S304" s="15"/>
      <c r="T304" s="100"/>
      <c r="U304" s="15"/>
      <c r="V304" s="15"/>
      <c r="W304" s="15"/>
      <c r="X304" s="96"/>
      <c r="Y304" s="69">
        <f ca="1">Table24[[#This Row],[End Date]]+2-TODAY()</f>
        <v>-45775</v>
      </c>
      <c r="Z304" s="15">
        <f>IF(ISBLANK(Table24[[#This Row],[Roster Received By]]),1,0)</f>
        <v>1</v>
      </c>
      <c r="AA304" s="15">
        <f ca="1">IF(Table24[[#This Row],[Start Date]]&gt;TODAY(),1,)</f>
        <v>0</v>
      </c>
    </row>
    <row r="305" spans="1:27" s="61" customFormat="1" x14ac:dyDescent="0.25">
      <c r="B305" s="114"/>
      <c r="C305" s="97" t="e">
        <v>#N/A</v>
      </c>
      <c r="D305" s="97" t="e">
        <v>#N/A</v>
      </c>
      <c r="E305" s="96"/>
      <c r="F305" s="107"/>
      <c r="G305" s="107"/>
      <c r="H305" s="99"/>
      <c r="I305" s="98"/>
      <c r="J305" s="98"/>
      <c r="K305" s="98"/>
      <c r="L305" s="98"/>
      <c r="M305" s="98"/>
      <c r="N305" s="98"/>
      <c r="O305" s="96"/>
      <c r="P305" s="96"/>
      <c r="Q305" s="15" t="e">
        <v>#N/A</v>
      </c>
      <c r="R305" s="15" t="e">
        <v>#N/A</v>
      </c>
      <c r="S305" s="15"/>
      <c r="T305" s="100"/>
      <c r="U305" s="15"/>
      <c r="V305" s="15"/>
      <c r="W305" s="15"/>
      <c r="X305" s="96"/>
      <c r="Y305" s="69">
        <f ca="1">Table24[[#This Row],[End Date]]+2-TODAY()</f>
        <v>-45775</v>
      </c>
      <c r="Z305" s="15">
        <f>IF(ISBLANK(Table24[[#This Row],[Roster Received By]]),1,0)</f>
        <v>1</v>
      </c>
      <c r="AA305" s="15">
        <f ca="1">IF(Table24[[#This Row],[Start Date]]&gt;TODAY(),1,)</f>
        <v>0</v>
      </c>
    </row>
    <row r="306" spans="1:27" s="61" customFormat="1" x14ac:dyDescent="0.25">
      <c r="B306" s="114"/>
      <c r="C306" s="97" t="e">
        <v>#N/A</v>
      </c>
      <c r="D306" s="97" t="e">
        <v>#N/A</v>
      </c>
      <c r="E306" s="96"/>
      <c r="F306" s="107"/>
      <c r="G306" s="107"/>
      <c r="H306" s="99"/>
      <c r="I306" s="98"/>
      <c r="J306" s="98"/>
      <c r="K306" s="98"/>
      <c r="L306" s="98"/>
      <c r="M306" s="98"/>
      <c r="N306" s="98"/>
      <c r="O306" s="96"/>
      <c r="P306" s="96"/>
      <c r="Q306" s="15" t="e">
        <v>#N/A</v>
      </c>
      <c r="R306" s="15" t="e">
        <v>#N/A</v>
      </c>
      <c r="S306" s="15"/>
      <c r="T306" s="100"/>
      <c r="U306" s="15"/>
      <c r="V306" s="15"/>
      <c r="W306" s="15"/>
      <c r="X306" s="96"/>
      <c r="Y306" s="69">
        <f ca="1">Table24[[#This Row],[End Date]]+2-TODAY()</f>
        <v>-45775</v>
      </c>
      <c r="Z306" s="15">
        <f>IF(ISBLANK(Table24[[#This Row],[Roster Received By]]),1,0)</f>
        <v>1</v>
      </c>
      <c r="AA306" s="15">
        <f ca="1">IF(Table24[[#This Row],[Start Date]]&gt;TODAY(),1,)</f>
        <v>0</v>
      </c>
    </row>
    <row r="307" spans="1:27" s="61" customFormat="1" x14ac:dyDescent="0.25">
      <c r="B307" s="114"/>
      <c r="C307" s="97" t="e">
        <v>#N/A</v>
      </c>
      <c r="D307" s="97" t="e">
        <v>#N/A</v>
      </c>
      <c r="E307" s="96"/>
      <c r="F307" s="107"/>
      <c r="G307" s="107"/>
      <c r="H307" s="105"/>
      <c r="I307" s="105"/>
      <c r="J307" s="99"/>
      <c r="K307" s="99"/>
      <c r="L307" s="99"/>
      <c r="M307" s="99"/>
      <c r="N307" s="99"/>
      <c r="O307" s="96"/>
      <c r="P307" s="96"/>
      <c r="Q307" s="15" t="e">
        <v>#N/A</v>
      </c>
      <c r="R307" s="15" t="e">
        <v>#N/A</v>
      </c>
      <c r="S307" s="15"/>
      <c r="T307" s="100"/>
      <c r="U307" s="15"/>
      <c r="V307" s="15"/>
      <c r="W307" s="15"/>
      <c r="X307" s="96"/>
      <c r="Y307" s="69">
        <f ca="1">Table24[[#This Row],[End Date]]+2-TODAY()</f>
        <v>-45775</v>
      </c>
      <c r="Z307" s="15">
        <f>IF(ISBLANK(Table24[[#This Row],[Roster Received By]]),1,0)</f>
        <v>1</v>
      </c>
      <c r="AA307" s="15">
        <f ca="1">IF(Table24[[#This Row],[Start Date]]&gt;TODAY(),1,)</f>
        <v>0</v>
      </c>
    </row>
    <row r="308" spans="1:27" s="61" customFormat="1" x14ac:dyDescent="0.25">
      <c r="B308" s="114"/>
      <c r="C308" s="97" t="e">
        <v>#N/A</v>
      </c>
      <c r="D308" s="97" t="e">
        <v>#N/A</v>
      </c>
      <c r="E308" s="96"/>
      <c r="F308" s="107"/>
      <c r="G308" s="107"/>
      <c r="H308" s="102"/>
      <c r="I308" s="102"/>
      <c r="J308" s="102"/>
      <c r="K308" s="102"/>
      <c r="L308" s="102"/>
      <c r="M308" s="102"/>
      <c r="N308" s="99"/>
      <c r="O308" s="96"/>
      <c r="P308" s="96"/>
      <c r="Q308" s="15" t="e">
        <v>#N/A</v>
      </c>
      <c r="R308" s="15" t="e">
        <v>#N/A</v>
      </c>
      <c r="S308" s="15"/>
      <c r="T308" s="100"/>
      <c r="U308" s="15"/>
      <c r="V308" s="15"/>
      <c r="W308" s="97"/>
      <c r="X308" s="96"/>
      <c r="Y308" s="69">
        <f ca="1">Table24[[#This Row],[End Date]]+2-TODAY()</f>
        <v>-45775</v>
      </c>
      <c r="Z308" s="15">
        <f>IF(ISBLANK(Table24[[#This Row],[Roster Received By]]),1,0)</f>
        <v>1</v>
      </c>
      <c r="AA308" s="15">
        <f ca="1">IF(Table24[[#This Row],[Start Date]]&gt;TODAY(),1,)</f>
        <v>0</v>
      </c>
    </row>
    <row r="309" spans="1:27" s="61" customFormat="1" x14ac:dyDescent="0.25">
      <c r="B309" s="114"/>
      <c r="C309" s="97" t="e">
        <v>#N/A</v>
      </c>
      <c r="D309" s="97" t="e">
        <v>#N/A</v>
      </c>
      <c r="E309" s="64"/>
      <c r="F309" s="107"/>
      <c r="G309" s="107"/>
      <c r="H309" s="102"/>
      <c r="I309" s="102"/>
      <c r="J309" s="99"/>
      <c r="K309" s="99"/>
      <c r="L309" s="99"/>
      <c r="M309" s="99"/>
      <c r="N309" s="99"/>
      <c r="O309" s="96"/>
      <c r="P309" s="96"/>
      <c r="Q309" s="15" t="e">
        <v>#N/A</v>
      </c>
      <c r="R309" s="15" t="e">
        <v>#N/A</v>
      </c>
      <c r="S309" s="15"/>
      <c r="T309" s="100"/>
      <c r="U309" s="15"/>
      <c r="V309" s="15"/>
      <c r="W309" s="15"/>
      <c r="X309" s="96"/>
      <c r="Y309" s="69">
        <f ca="1">Table24[[#This Row],[End Date]]+2-TODAY()</f>
        <v>-45775</v>
      </c>
      <c r="Z309" s="15">
        <f>IF(ISBLANK(Table24[[#This Row],[Roster Received By]]),1,0)</f>
        <v>1</v>
      </c>
      <c r="AA309" s="15">
        <f ca="1">IF(Table24[[#This Row],[Start Date]]&gt;TODAY(),1,)</f>
        <v>0</v>
      </c>
    </row>
    <row r="310" spans="1:27" s="61" customFormat="1" x14ac:dyDescent="0.25">
      <c r="B310" s="114"/>
      <c r="C310" s="97" t="e">
        <v>#N/A</v>
      </c>
      <c r="D310" s="97" t="e">
        <v>#N/A</v>
      </c>
      <c r="E310" s="64"/>
      <c r="F310" s="107"/>
      <c r="G310" s="107"/>
      <c r="H310" s="102"/>
      <c r="I310" s="102"/>
      <c r="J310" s="99"/>
      <c r="K310" s="99"/>
      <c r="L310" s="99"/>
      <c r="M310" s="99"/>
      <c r="N310" s="99"/>
      <c r="O310" s="96"/>
      <c r="P310" s="96"/>
      <c r="Q310" s="15" t="e">
        <v>#N/A</v>
      </c>
      <c r="R310" s="15" t="e">
        <v>#N/A</v>
      </c>
      <c r="S310" s="15"/>
      <c r="T310" s="100"/>
      <c r="U310" s="15"/>
      <c r="V310" s="15"/>
      <c r="W310" s="15"/>
      <c r="X310" s="96"/>
      <c r="Y310" s="69">
        <f ca="1">Table24[[#This Row],[End Date]]+2-TODAY()</f>
        <v>-45775</v>
      </c>
      <c r="Z310" s="15">
        <f>IF(ISBLANK(Table24[[#This Row],[Roster Received By]]),1,0)</f>
        <v>1</v>
      </c>
      <c r="AA310" s="15">
        <f ca="1">IF(Table24[[#This Row],[Start Date]]&gt;TODAY(),1,)</f>
        <v>0</v>
      </c>
    </row>
    <row r="311" spans="1:27" s="61" customFormat="1" x14ac:dyDescent="0.25">
      <c r="B311" s="114"/>
      <c r="C311" s="97" t="e">
        <v>#N/A</v>
      </c>
      <c r="D311" s="97" t="e">
        <v>#N/A</v>
      </c>
      <c r="E311" s="96"/>
      <c r="F311" s="107"/>
      <c r="G311" s="107"/>
      <c r="H311" s="105"/>
      <c r="I311" s="105"/>
      <c r="J311" s="99"/>
      <c r="K311" s="99"/>
      <c r="L311" s="99"/>
      <c r="M311" s="99"/>
      <c r="N311" s="99"/>
      <c r="O311" s="96"/>
      <c r="P311" s="96"/>
      <c r="Q311" s="15" t="e">
        <v>#N/A</v>
      </c>
      <c r="R311" s="15" t="e">
        <v>#N/A</v>
      </c>
      <c r="S311" s="100"/>
      <c r="T311" s="100"/>
      <c r="U311" s="15"/>
      <c r="V311" s="15"/>
      <c r="W311" s="15"/>
      <c r="X311" s="96"/>
      <c r="Y311" s="69">
        <f ca="1">Table24[[#This Row],[End Date]]+2-TODAY()</f>
        <v>-45775</v>
      </c>
      <c r="Z311" s="15">
        <f>IF(ISBLANK(Table24[[#This Row],[Roster Received By]]),1,0)</f>
        <v>1</v>
      </c>
      <c r="AA311" s="15">
        <f ca="1">IF(Table24[[#This Row],[Start Date]]&gt;TODAY(),1,)</f>
        <v>0</v>
      </c>
    </row>
    <row r="312" spans="1:27" s="61" customFormat="1" x14ac:dyDescent="0.25">
      <c r="B312" s="96"/>
      <c r="C312" s="97" t="e">
        <v>#N/A</v>
      </c>
      <c r="D312" s="97" t="e">
        <v>#N/A</v>
      </c>
      <c r="E312" s="96"/>
      <c r="F312" s="107"/>
      <c r="G312" s="107"/>
      <c r="H312" s="102"/>
      <c r="I312" s="102"/>
      <c r="J312" s="99"/>
      <c r="K312" s="99"/>
      <c r="L312" s="99"/>
      <c r="M312" s="99"/>
      <c r="N312" s="99"/>
      <c r="O312" s="96"/>
      <c r="P312" s="96"/>
      <c r="Q312" s="15" t="e">
        <v>#N/A</v>
      </c>
      <c r="R312" s="15" t="e">
        <v>#N/A</v>
      </c>
      <c r="S312" s="100"/>
      <c r="T312" s="100"/>
      <c r="U312" s="15"/>
      <c r="V312" s="15"/>
      <c r="W312" s="97"/>
      <c r="X312" s="96"/>
      <c r="Y312" s="106">
        <f ca="1">Table24[[#This Row],[End Date]]+2-TODAY()</f>
        <v>-45775</v>
      </c>
      <c r="Z312" s="15">
        <f>IF(ISBLANK(Table24[[#This Row],[Roster Received By]]),1,0)</f>
        <v>1</v>
      </c>
      <c r="AA312" s="97">
        <f ca="1">IF(Table24[[#This Row],[Start Date]]&gt;TODAY(),1,)</f>
        <v>0</v>
      </c>
    </row>
    <row r="313" spans="1:27" s="61" customFormat="1" x14ac:dyDescent="0.25">
      <c r="B313" s="115"/>
      <c r="C313" s="97" t="e">
        <v>#N/A</v>
      </c>
      <c r="D313" s="97" t="e">
        <v>#N/A</v>
      </c>
      <c r="E313" s="96"/>
      <c r="F313" s="107"/>
      <c r="G313" s="107"/>
      <c r="H313" s="105"/>
      <c r="I313" s="105"/>
      <c r="J313" s="99"/>
      <c r="K313" s="99"/>
      <c r="L313" s="99"/>
      <c r="M313" s="99"/>
      <c r="N313" s="99"/>
      <c r="O313" s="96"/>
      <c r="P313" s="96"/>
      <c r="Q313" s="15" t="e">
        <v>#N/A</v>
      </c>
      <c r="R313" s="15" t="e">
        <v>#N/A</v>
      </c>
      <c r="S313" s="15"/>
      <c r="T313" s="100"/>
      <c r="U313" s="15"/>
      <c r="V313" s="15"/>
      <c r="W313" s="15"/>
      <c r="X313" s="96"/>
      <c r="Y313" s="69">
        <f ca="1">Table24[[#This Row],[End Date]]+2-TODAY()</f>
        <v>-45775</v>
      </c>
      <c r="Z313" s="15">
        <f>IF(ISBLANK(Table24[[#This Row],[Roster Received By]]),1,0)</f>
        <v>1</v>
      </c>
      <c r="AA313" s="15">
        <f ca="1">IF(Table24[[#This Row],[Start Date]]&gt;TODAY(),1,)</f>
        <v>0</v>
      </c>
    </row>
    <row r="314" spans="1:27" s="61" customFormat="1" x14ac:dyDescent="0.25">
      <c r="B314" s="114"/>
      <c r="C314" s="97" t="e">
        <v>#N/A</v>
      </c>
      <c r="D314" s="97" t="e">
        <v>#N/A</v>
      </c>
      <c r="E314" s="96"/>
      <c r="F314" s="107"/>
      <c r="G314" s="107"/>
      <c r="H314" s="99"/>
      <c r="I314" s="98"/>
      <c r="J314" s="98"/>
      <c r="K314" s="98"/>
      <c r="L314" s="98"/>
      <c r="M314" s="98"/>
      <c r="N314" s="98"/>
      <c r="O314" s="96"/>
      <c r="P314" s="96"/>
      <c r="Q314" s="15" t="e">
        <v>#N/A</v>
      </c>
      <c r="R314" s="15" t="e">
        <v>#N/A</v>
      </c>
      <c r="S314" s="15"/>
      <c r="T314" s="100"/>
      <c r="U314" s="15"/>
      <c r="V314" s="15"/>
      <c r="W314" s="15"/>
      <c r="X314" s="96"/>
      <c r="Y314" s="69">
        <f ca="1">Table24[[#This Row],[End Date]]+2-TODAY()</f>
        <v>-45775</v>
      </c>
      <c r="Z314" s="15">
        <f>IF(ISBLANK(Table24[[#This Row],[Roster Received By]]),1,0)</f>
        <v>1</v>
      </c>
      <c r="AA314" s="15">
        <f ca="1">IF(Table24[[#This Row],[Start Date]]&gt;TODAY(),1,)</f>
        <v>0</v>
      </c>
    </row>
    <row r="315" spans="1:27" s="61" customFormat="1" x14ac:dyDescent="0.25">
      <c r="B315" s="115"/>
      <c r="C315" s="97" t="e">
        <v>#N/A</v>
      </c>
      <c r="D315" s="97" t="e">
        <v>#N/A</v>
      </c>
      <c r="E315" s="96"/>
      <c r="F315" s="107"/>
      <c r="G315" s="107"/>
      <c r="H315" s="102"/>
      <c r="I315" s="102"/>
      <c r="J315" s="99"/>
      <c r="K315" s="99"/>
      <c r="L315" s="99"/>
      <c r="M315" s="99"/>
      <c r="N315" s="99"/>
      <c r="O315" s="96"/>
      <c r="P315" s="96"/>
      <c r="Q315" s="15" t="e">
        <v>#N/A</v>
      </c>
      <c r="R315" s="15" t="e">
        <v>#N/A</v>
      </c>
      <c r="S315" s="15"/>
      <c r="T315" s="100"/>
      <c r="U315" s="15"/>
      <c r="V315" s="15"/>
      <c r="W315" s="15"/>
      <c r="X315" s="96"/>
      <c r="Y315" s="69">
        <f ca="1">Table24[[#This Row],[End Date]]+2-TODAY()</f>
        <v>-45775</v>
      </c>
      <c r="Z315" s="15">
        <f>IF(ISBLANK(Table24[[#This Row],[Roster Received By]]),1,0)</f>
        <v>1</v>
      </c>
      <c r="AA315" s="15">
        <f ca="1">IF(Table24[[#This Row],[Start Date]]&gt;TODAY(),1,)</f>
        <v>0</v>
      </c>
    </row>
    <row r="316" spans="1:27" s="61" customFormat="1" x14ac:dyDescent="0.25">
      <c r="B316" s="115"/>
      <c r="C316" s="97" t="e">
        <v>#N/A</v>
      </c>
      <c r="D316" s="97" t="e">
        <v>#N/A</v>
      </c>
      <c r="E316" s="96"/>
      <c r="F316" s="107"/>
      <c r="G316" s="107"/>
      <c r="H316" s="102"/>
      <c r="I316" s="102"/>
      <c r="J316" s="99"/>
      <c r="K316" s="99"/>
      <c r="L316" s="99"/>
      <c r="M316" s="99"/>
      <c r="N316" s="99"/>
      <c r="O316" s="96"/>
      <c r="P316" s="96"/>
      <c r="Q316" s="15" t="e">
        <v>#N/A</v>
      </c>
      <c r="R316" s="15" t="e">
        <v>#N/A</v>
      </c>
      <c r="S316" s="15"/>
      <c r="T316" s="100"/>
      <c r="U316" s="15"/>
      <c r="V316" s="15"/>
      <c r="W316" s="15"/>
      <c r="X316" s="96"/>
      <c r="Y316" s="69">
        <f ca="1">Table24[[#This Row],[End Date]]+2-TODAY()</f>
        <v>-45775</v>
      </c>
      <c r="Z316" s="15">
        <f>IF(ISBLANK(Table24[[#This Row],[Roster Received By]]),1,0)</f>
        <v>1</v>
      </c>
      <c r="AA316" s="15">
        <f ca="1">IF(Table24[[#This Row],[Start Date]]&gt;TODAY(),1,)</f>
        <v>0</v>
      </c>
    </row>
    <row r="317" spans="1:27" s="61" customFormat="1" x14ac:dyDescent="0.25">
      <c r="A317" s="139"/>
      <c r="B317" s="115"/>
      <c r="C317" s="97" t="e">
        <v>#N/A</v>
      </c>
      <c r="D317" s="97" t="e">
        <v>#N/A</v>
      </c>
      <c r="E317" s="96"/>
      <c r="F317" s="129"/>
      <c r="G317" s="129"/>
      <c r="H317" s="102"/>
      <c r="I317" s="102"/>
      <c r="J317" s="99"/>
      <c r="K317" s="99"/>
      <c r="L317" s="99"/>
      <c r="M317" s="99"/>
      <c r="N317" s="99"/>
      <c r="O317" s="96"/>
      <c r="P317" s="96"/>
      <c r="Q317" s="15" t="e">
        <v>#N/A</v>
      </c>
      <c r="R317" s="15" t="e">
        <v>#N/A</v>
      </c>
      <c r="S317" s="100"/>
      <c r="T317" s="100"/>
      <c r="U317" s="15"/>
      <c r="V317" s="15"/>
      <c r="W317" s="15"/>
      <c r="X317" s="96"/>
      <c r="Y317" s="69">
        <f ca="1">Table24[[#This Row],[End Date]]+2-TODAY()</f>
        <v>-45775</v>
      </c>
      <c r="Z317" s="15">
        <f>IF(ISBLANK(Table24[[#This Row],[Roster Received By]]),1,0)</f>
        <v>1</v>
      </c>
      <c r="AA317" s="15">
        <f ca="1">IF(Table24[[#This Row],[Start Date]]&gt;TODAY(),1,)</f>
        <v>0</v>
      </c>
    </row>
    <row r="318" spans="1:27" s="61" customFormat="1" x14ac:dyDescent="0.25">
      <c r="A318" s="96"/>
      <c r="B318" s="115"/>
      <c r="C318" s="97" t="e">
        <v>#N/A</v>
      </c>
      <c r="D318" s="97" t="e">
        <v>#N/A</v>
      </c>
      <c r="E318" s="115"/>
      <c r="F318" s="130"/>
      <c r="G318" s="130"/>
      <c r="H318" s="66"/>
      <c r="I318" s="98"/>
      <c r="J318" s="98"/>
      <c r="K318" s="98"/>
      <c r="L318" s="98"/>
      <c r="M318" s="98"/>
      <c r="N318" s="98"/>
      <c r="O318" s="96"/>
      <c r="P318" s="96"/>
      <c r="Q318" s="15" t="e">
        <v>#N/A</v>
      </c>
      <c r="R318" s="15" t="e">
        <v>#N/A</v>
      </c>
      <c r="S318" s="15"/>
      <c r="T318" s="100"/>
      <c r="U318" s="15"/>
      <c r="V318" s="15"/>
      <c r="W318" s="15"/>
      <c r="X318" s="96"/>
      <c r="Y318" s="69">
        <f ca="1">Table24[[#This Row],[End Date]]+2-TODAY()</f>
        <v>-45775</v>
      </c>
      <c r="Z318" s="15">
        <f>IF(ISBLANK(Table24[[#This Row],[Roster Received By]]),1,0)</f>
        <v>1</v>
      </c>
      <c r="AA318" s="15">
        <f ca="1">IF(Table24[[#This Row],[Start Date]]&gt;TODAY(),1,)</f>
        <v>0</v>
      </c>
    </row>
    <row r="319" spans="1:27" s="61" customFormat="1" x14ac:dyDescent="0.25">
      <c r="B319" s="115"/>
      <c r="C319" s="97" t="e">
        <v>#N/A</v>
      </c>
      <c r="D319" s="97" t="e">
        <v>#N/A</v>
      </c>
      <c r="E319" s="115"/>
      <c r="F319" s="129"/>
      <c r="G319" s="129"/>
      <c r="H319" s="99"/>
      <c r="I319" s="98"/>
      <c r="J319" s="98"/>
      <c r="K319" s="98"/>
      <c r="L319" s="98"/>
      <c r="M319" s="98"/>
      <c r="N319" s="98"/>
      <c r="O319" s="96"/>
      <c r="P319" s="96"/>
      <c r="Q319" s="15" t="e">
        <v>#N/A</v>
      </c>
      <c r="R319" s="15" t="e">
        <v>#N/A</v>
      </c>
      <c r="S319" s="15"/>
      <c r="T319" s="100"/>
      <c r="U319" s="15"/>
      <c r="V319" s="15"/>
      <c r="W319" s="15"/>
      <c r="X319" s="96"/>
      <c r="Y319" s="69">
        <f ca="1">Table24[[#This Row],[End Date]]+2-TODAY()</f>
        <v>-45775</v>
      </c>
      <c r="Z319" s="15">
        <f>IF(ISBLANK(Table24[[#This Row],[Roster Received By]]),1,0)</f>
        <v>1</v>
      </c>
      <c r="AA319" s="15">
        <f ca="1">IF(Table24[[#This Row],[Start Date]]&gt;TODAY(),1,)</f>
        <v>0</v>
      </c>
    </row>
    <row r="320" spans="1:27" s="61" customFormat="1" x14ac:dyDescent="0.25">
      <c r="B320" s="115"/>
      <c r="C320" s="97" t="e">
        <v>#N/A</v>
      </c>
      <c r="D320" s="97" t="e">
        <v>#N/A</v>
      </c>
      <c r="E320" s="96"/>
      <c r="F320" s="99"/>
      <c r="G320" s="99"/>
      <c r="H320" s="102"/>
      <c r="I320" s="102"/>
      <c r="J320" s="102"/>
      <c r="K320" s="102"/>
      <c r="L320" s="102"/>
      <c r="M320" s="102"/>
      <c r="N320" s="99"/>
      <c r="O320" s="96"/>
      <c r="P320" s="96"/>
      <c r="Q320" s="15" t="e">
        <v>#N/A</v>
      </c>
      <c r="R320" s="15" t="e">
        <v>#N/A</v>
      </c>
      <c r="S320" s="15"/>
      <c r="T320" s="100"/>
      <c r="U320" s="15"/>
      <c r="V320" s="15"/>
      <c r="W320" s="15"/>
      <c r="X320" s="96"/>
      <c r="Y320" s="69">
        <f ca="1">Table24[[#This Row],[End Date]]+2-TODAY()</f>
        <v>-45775</v>
      </c>
      <c r="Z320" s="15">
        <f>IF(ISBLANK(Table24[[#This Row],[Roster Received By]]),1,0)</f>
        <v>1</v>
      </c>
      <c r="AA320" s="15">
        <f ca="1">IF(Table24[[#This Row],[Start Date]]&gt;TODAY(),1,)</f>
        <v>0</v>
      </c>
    </row>
    <row r="321" spans="1:27" s="61" customFormat="1" x14ac:dyDescent="0.25">
      <c r="B321" s="115"/>
      <c r="C321" s="97" t="e">
        <v>#N/A</v>
      </c>
      <c r="D321" s="97" t="e">
        <v>#N/A</v>
      </c>
      <c r="E321" s="65"/>
      <c r="F321" s="107"/>
      <c r="G321" s="107"/>
      <c r="H321" s="102"/>
      <c r="I321" s="102"/>
      <c r="J321" s="99"/>
      <c r="K321" s="99"/>
      <c r="L321" s="99"/>
      <c r="M321" s="99"/>
      <c r="N321" s="99"/>
      <c r="O321" s="96"/>
      <c r="P321" s="96"/>
      <c r="Q321" s="15" t="e">
        <v>#N/A</v>
      </c>
      <c r="R321" s="15" t="e">
        <v>#N/A</v>
      </c>
      <c r="S321" s="15"/>
      <c r="T321" s="100"/>
      <c r="U321" s="15"/>
      <c r="V321" s="15"/>
      <c r="W321" s="15"/>
      <c r="X321" s="96"/>
      <c r="Y321" s="69">
        <f ca="1">Table24[[#This Row],[End Date]]+2-TODAY()</f>
        <v>-45775</v>
      </c>
      <c r="Z321" s="15">
        <f>IF(ISBLANK(Table24[[#This Row],[Roster Received By]]),1,0)</f>
        <v>1</v>
      </c>
      <c r="AA321" s="15">
        <f ca="1">IF(Table24[[#This Row],[Start Date]]&gt;TODAY(),1,)</f>
        <v>0</v>
      </c>
    </row>
    <row r="322" spans="1:27" s="61" customFormat="1" x14ac:dyDescent="0.25">
      <c r="B322" s="115"/>
      <c r="C322" s="97" t="e">
        <v>#N/A</v>
      </c>
      <c r="D322" s="97" t="e">
        <v>#N/A</v>
      </c>
      <c r="E322" s="113"/>
      <c r="F322" s="107"/>
      <c r="G322" s="107"/>
      <c r="H322" s="105"/>
      <c r="I322" s="105"/>
      <c r="J322" s="99"/>
      <c r="K322" s="99"/>
      <c r="L322" s="99"/>
      <c r="M322" s="99"/>
      <c r="N322" s="99"/>
      <c r="O322" s="96"/>
      <c r="P322" s="96"/>
      <c r="Q322" s="15" t="e">
        <v>#N/A</v>
      </c>
      <c r="R322" s="15" t="e">
        <v>#N/A</v>
      </c>
      <c r="S322" s="15"/>
      <c r="T322" s="100"/>
      <c r="U322" s="15"/>
      <c r="V322" s="15"/>
      <c r="W322" s="15"/>
      <c r="X322" s="96"/>
      <c r="Y322" s="69">
        <f ca="1">Table24[[#This Row],[End Date]]+2-TODAY()</f>
        <v>-45775</v>
      </c>
      <c r="Z322" s="15">
        <f>IF(ISBLANK(Table24[[#This Row],[Roster Received By]]),1,0)</f>
        <v>1</v>
      </c>
      <c r="AA322" s="15">
        <f ca="1">IF(Table24[[#This Row],[Start Date]]&gt;TODAY(),1,)</f>
        <v>0</v>
      </c>
    </row>
    <row r="323" spans="1:27" s="61" customFormat="1" x14ac:dyDescent="0.25">
      <c r="B323" s="115"/>
      <c r="C323" s="97" t="e">
        <v>#N/A</v>
      </c>
      <c r="D323" s="97" t="e">
        <v>#N/A</v>
      </c>
      <c r="E323" s="113"/>
      <c r="F323" s="107"/>
      <c r="G323" s="107"/>
      <c r="H323" s="99"/>
      <c r="I323" s="98"/>
      <c r="J323" s="98"/>
      <c r="K323" s="98"/>
      <c r="L323" s="98"/>
      <c r="M323" s="98"/>
      <c r="N323" s="98"/>
      <c r="O323" s="96"/>
      <c r="P323" s="96"/>
      <c r="Q323" s="15" t="e">
        <v>#N/A</v>
      </c>
      <c r="R323" s="15" t="e">
        <v>#N/A</v>
      </c>
      <c r="S323" s="15"/>
      <c r="T323" s="100"/>
      <c r="U323" s="15"/>
      <c r="V323" s="15"/>
      <c r="W323" s="15"/>
      <c r="X323" s="96"/>
      <c r="Y323" s="69">
        <f ca="1">Table24[[#This Row],[End Date]]+2-TODAY()</f>
        <v>-45775</v>
      </c>
      <c r="Z323" s="15">
        <f>IF(ISBLANK(Table24[[#This Row],[Roster Received By]]),1,0)</f>
        <v>1</v>
      </c>
      <c r="AA323" s="15">
        <f ca="1">IF(Table24[[#This Row],[Start Date]]&gt;TODAY(),1,)</f>
        <v>0</v>
      </c>
    </row>
    <row r="324" spans="1:27" s="61" customFormat="1" x14ac:dyDescent="0.25">
      <c r="A324" s="96"/>
      <c r="B324" s="115"/>
      <c r="C324" s="97" t="e">
        <v>#N/A</v>
      </c>
      <c r="D324" s="97" t="e">
        <v>#N/A</v>
      </c>
      <c r="E324" s="113"/>
      <c r="F324" s="107"/>
      <c r="G324" s="107"/>
      <c r="H324" s="102"/>
      <c r="I324" s="102"/>
      <c r="J324" s="99"/>
      <c r="K324" s="99"/>
      <c r="L324" s="99"/>
      <c r="M324" s="99"/>
      <c r="N324" s="99"/>
      <c r="O324" s="96"/>
      <c r="P324" s="96"/>
      <c r="Q324" s="15" t="e">
        <v>#N/A</v>
      </c>
      <c r="R324" s="15" t="e">
        <v>#N/A</v>
      </c>
      <c r="S324" s="15"/>
      <c r="T324" s="100"/>
      <c r="U324" s="15"/>
      <c r="V324" s="15"/>
      <c r="W324" s="100"/>
      <c r="X324" s="96"/>
      <c r="Y324" s="69">
        <f ca="1">Table24[[#This Row],[End Date]]+2-TODAY()</f>
        <v>-45775</v>
      </c>
      <c r="Z324" s="15">
        <f>IF(ISBLANK(Table24[[#This Row],[Roster Received By]]),1,0)</f>
        <v>1</v>
      </c>
      <c r="AA324" s="15">
        <f ca="1">IF(Table24[[#This Row],[Start Date]]&gt;TODAY(),1,)</f>
        <v>0</v>
      </c>
    </row>
    <row r="325" spans="1:27" s="61" customFormat="1" x14ac:dyDescent="0.25">
      <c r="B325" s="115"/>
      <c r="C325" s="97" t="e">
        <v>#N/A</v>
      </c>
      <c r="D325" s="97" t="e">
        <v>#N/A</v>
      </c>
      <c r="E325" s="113"/>
      <c r="F325" s="107"/>
      <c r="G325" s="107"/>
      <c r="H325" s="102"/>
      <c r="I325" s="102"/>
      <c r="J325" s="99"/>
      <c r="K325" s="99"/>
      <c r="L325" s="99"/>
      <c r="M325" s="99"/>
      <c r="N325" s="99"/>
      <c r="O325" s="96"/>
      <c r="P325" s="96"/>
      <c r="Q325" s="15" t="e">
        <v>#N/A</v>
      </c>
      <c r="R325" s="15" t="e">
        <v>#N/A</v>
      </c>
      <c r="S325" s="15"/>
      <c r="T325" s="100"/>
      <c r="U325" s="15"/>
      <c r="V325" s="15"/>
      <c r="W325" s="15"/>
      <c r="X325" s="96"/>
      <c r="Y325" s="69">
        <f ca="1">Table24[[#This Row],[End Date]]+2-TODAY()</f>
        <v>-45775</v>
      </c>
      <c r="Z325" s="15">
        <f>IF(ISBLANK(Table24[[#This Row],[Roster Received By]]),1,0)</f>
        <v>1</v>
      </c>
      <c r="AA325" s="15">
        <f ca="1">IF(Table24[[#This Row],[Start Date]]&gt;TODAY(),1,)</f>
        <v>0</v>
      </c>
    </row>
    <row r="326" spans="1:27" s="61" customFormat="1" x14ac:dyDescent="0.25">
      <c r="B326" s="115"/>
      <c r="C326" s="97" t="e">
        <v>#N/A</v>
      </c>
      <c r="D326" s="97" t="e">
        <v>#N/A</v>
      </c>
      <c r="E326" s="113"/>
      <c r="F326" s="107"/>
      <c r="G326" s="107"/>
      <c r="H326" s="99"/>
      <c r="I326" s="98"/>
      <c r="J326" s="98"/>
      <c r="K326" s="98"/>
      <c r="L326" s="98"/>
      <c r="M326" s="98"/>
      <c r="N326" s="98"/>
      <c r="O326" s="96"/>
      <c r="P326" s="96"/>
      <c r="Q326" s="15" t="e">
        <v>#N/A</v>
      </c>
      <c r="R326" s="15" t="e">
        <v>#N/A</v>
      </c>
      <c r="S326" s="15"/>
      <c r="T326" s="100"/>
      <c r="U326" s="15"/>
      <c r="V326" s="15"/>
      <c r="W326" s="97"/>
      <c r="X326" s="96"/>
      <c r="Y326" s="69">
        <f ca="1">Table24[[#This Row],[End Date]]+2-TODAY()</f>
        <v>-45775</v>
      </c>
      <c r="Z326" s="15">
        <f>IF(ISBLANK(Table24[[#This Row],[Roster Received By]]),1,0)</f>
        <v>1</v>
      </c>
      <c r="AA326" s="15">
        <f ca="1">IF(Table24[[#This Row],[Start Date]]&gt;TODAY(),1,)</f>
        <v>0</v>
      </c>
    </row>
    <row r="327" spans="1:27" s="61" customFormat="1" x14ac:dyDescent="0.25">
      <c r="B327" s="115"/>
      <c r="C327" s="97" t="e">
        <v>#N/A</v>
      </c>
      <c r="D327" s="97" t="e">
        <v>#N/A</v>
      </c>
      <c r="E327" s="96"/>
      <c r="F327" s="107"/>
      <c r="G327" s="107"/>
      <c r="H327" s="99"/>
      <c r="I327" s="98"/>
      <c r="J327" s="98"/>
      <c r="K327" s="98"/>
      <c r="L327" s="98"/>
      <c r="M327" s="98"/>
      <c r="N327" s="98"/>
      <c r="O327" s="96"/>
      <c r="P327" s="96"/>
      <c r="Q327" s="15" t="e">
        <v>#N/A</v>
      </c>
      <c r="R327" s="15" t="e">
        <v>#N/A</v>
      </c>
      <c r="S327" s="15"/>
      <c r="T327" s="100"/>
      <c r="U327" s="15"/>
      <c r="V327" s="15"/>
      <c r="W327" s="15"/>
      <c r="X327" s="96"/>
      <c r="Y327" s="69">
        <f ca="1">Table24[[#This Row],[End Date]]+2-TODAY()</f>
        <v>-45775</v>
      </c>
      <c r="Z327" s="15">
        <f>IF(ISBLANK(Table24[[#This Row],[Roster Received By]]),1,0)</f>
        <v>1</v>
      </c>
      <c r="AA327" s="15">
        <f ca="1">IF(Table24[[#This Row],[Start Date]]&gt;TODAY(),1,)</f>
        <v>0</v>
      </c>
    </row>
    <row r="328" spans="1:27" s="61" customFormat="1" x14ac:dyDescent="0.25">
      <c r="B328" s="116"/>
      <c r="C328" s="97" t="e">
        <v>#N/A</v>
      </c>
      <c r="D328" s="97" t="e">
        <v>#N/A</v>
      </c>
      <c r="E328" s="113"/>
      <c r="F328" s="95"/>
      <c r="G328" s="95"/>
      <c r="H328" s="66"/>
      <c r="I328" s="98"/>
      <c r="J328" s="98"/>
      <c r="K328" s="98"/>
      <c r="L328" s="98"/>
      <c r="M328" s="98"/>
      <c r="N328" s="98"/>
      <c r="O328" s="96"/>
      <c r="P328" s="96"/>
      <c r="Q328" s="15" t="e">
        <v>#N/A</v>
      </c>
      <c r="R328" s="15" t="e">
        <v>#N/A</v>
      </c>
      <c r="S328" s="15"/>
      <c r="T328" s="100"/>
      <c r="U328" s="15"/>
      <c r="V328" s="15"/>
      <c r="W328" s="15"/>
      <c r="X328" s="96"/>
      <c r="Y328" s="69">
        <f ca="1">Table24[[#This Row],[End Date]]+2-TODAY()</f>
        <v>-45775</v>
      </c>
      <c r="Z328" s="15">
        <f>IF(ISBLANK(Table24[[#This Row],[Roster Received By]]),1,0)</f>
        <v>1</v>
      </c>
      <c r="AA328" s="15">
        <f ca="1">IF(Table24[[#This Row],[Start Date]]&gt;TODAY(),1,)</f>
        <v>0</v>
      </c>
    </row>
    <row r="329" spans="1:27" s="61" customFormat="1" x14ac:dyDescent="0.25">
      <c r="A329" s="96"/>
      <c r="B329" s="115"/>
      <c r="C329" s="97" t="e">
        <v>#N/A</v>
      </c>
      <c r="D329" s="97" t="e">
        <v>#N/A</v>
      </c>
      <c r="E329" s="113"/>
      <c r="F329" s="107"/>
      <c r="G329" s="107"/>
      <c r="H329" s="99"/>
      <c r="I329" s="98"/>
      <c r="J329" s="98"/>
      <c r="K329" s="98"/>
      <c r="L329" s="98"/>
      <c r="M329" s="98"/>
      <c r="N329" s="98"/>
      <c r="O329" s="96"/>
      <c r="P329" s="96"/>
      <c r="Q329" s="15" t="e">
        <v>#N/A</v>
      </c>
      <c r="R329" s="15" t="e">
        <v>#N/A</v>
      </c>
      <c r="S329" s="15"/>
      <c r="T329" s="100"/>
      <c r="U329" s="15"/>
      <c r="V329" s="15"/>
      <c r="W329" s="15"/>
      <c r="X329" s="96"/>
      <c r="Y329" s="69">
        <f ca="1">Table24[[#This Row],[End Date]]+2-TODAY()</f>
        <v>-45775</v>
      </c>
      <c r="Z329" s="15">
        <f>IF(ISBLANK(Table24[[#This Row],[Roster Received By]]),1,0)</f>
        <v>1</v>
      </c>
      <c r="AA329" s="15">
        <f ca="1">IF(Table24[[#This Row],[Start Date]]&gt;TODAY(),1,)</f>
        <v>0</v>
      </c>
    </row>
    <row r="330" spans="1:27" s="61" customFormat="1" x14ac:dyDescent="0.25">
      <c r="B330" s="115"/>
      <c r="C330" s="97" t="e">
        <v>#N/A</v>
      </c>
      <c r="D330" s="97" t="e">
        <v>#N/A</v>
      </c>
      <c r="E330" s="115"/>
      <c r="F330" s="107"/>
      <c r="G330" s="107"/>
      <c r="H330" s="99"/>
      <c r="I330" s="98"/>
      <c r="J330" s="98"/>
      <c r="K330" s="98"/>
      <c r="L330" s="98"/>
      <c r="M330" s="98"/>
      <c r="N330" s="98"/>
      <c r="O330" s="96"/>
      <c r="P330" s="96"/>
      <c r="Q330" s="15" t="e">
        <v>#N/A</v>
      </c>
      <c r="R330" s="15" t="e">
        <v>#N/A</v>
      </c>
      <c r="S330" s="15"/>
      <c r="T330" s="100"/>
      <c r="U330" s="15"/>
      <c r="V330" s="15"/>
      <c r="W330" s="15"/>
      <c r="X330" s="96"/>
      <c r="Y330" s="69">
        <f ca="1">Table24[[#This Row],[End Date]]+2-TODAY()</f>
        <v>-45775</v>
      </c>
      <c r="Z330" s="15">
        <f>IF(ISBLANK(Table24[[#This Row],[Roster Received By]]),1,0)</f>
        <v>1</v>
      </c>
      <c r="AA330" s="15">
        <f ca="1">IF(Table24[[#This Row],[Start Date]]&gt;TODAY(),1,)</f>
        <v>0</v>
      </c>
    </row>
    <row r="331" spans="1:27" s="61" customFormat="1" x14ac:dyDescent="0.25">
      <c r="B331" s="115"/>
      <c r="C331" s="97" t="e">
        <v>#N/A</v>
      </c>
      <c r="D331" s="97" t="e">
        <v>#N/A</v>
      </c>
      <c r="E331" s="115"/>
      <c r="F331" s="107"/>
      <c r="G331" s="107"/>
      <c r="H331" s="99"/>
      <c r="I331" s="98"/>
      <c r="J331" s="98"/>
      <c r="K331" s="98"/>
      <c r="L331" s="98"/>
      <c r="M331" s="98"/>
      <c r="N331" s="98"/>
      <c r="O331" s="96"/>
      <c r="P331" s="96"/>
      <c r="Q331" s="15" t="e">
        <v>#N/A</v>
      </c>
      <c r="R331" s="15" t="e">
        <v>#N/A</v>
      </c>
      <c r="S331" s="15"/>
      <c r="T331" s="100"/>
      <c r="U331" s="15"/>
      <c r="V331" s="15"/>
      <c r="W331" s="15"/>
      <c r="X331" s="96"/>
      <c r="Y331" s="69">
        <f ca="1">Table24[[#This Row],[End Date]]+2-TODAY()</f>
        <v>-45775</v>
      </c>
      <c r="Z331" s="15">
        <f>IF(ISBLANK(Table24[[#This Row],[Roster Received By]]),1,0)</f>
        <v>1</v>
      </c>
      <c r="AA331" s="15">
        <f ca="1">IF(Table24[[#This Row],[Start Date]]&gt;TODAY(),1,)</f>
        <v>0</v>
      </c>
    </row>
    <row r="332" spans="1:27" s="61" customFormat="1" x14ac:dyDescent="0.25">
      <c r="B332" s="115"/>
      <c r="C332" s="97" t="e">
        <v>#N/A</v>
      </c>
      <c r="D332" s="97" t="e">
        <v>#N/A</v>
      </c>
      <c r="E332" s="115"/>
      <c r="F332" s="107"/>
      <c r="G332" s="107"/>
      <c r="H332" s="99"/>
      <c r="I332" s="98"/>
      <c r="J332" s="98"/>
      <c r="K332" s="98"/>
      <c r="L332" s="98"/>
      <c r="M332" s="98"/>
      <c r="N332" s="98"/>
      <c r="O332" s="96"/>
      <c r="P332" s="96"/>
      <c r="Q332" s="15" t="e">
        <v>#N/A</v>
      </c>
      <c r="R332" s="15" t="e">
        <v>#N/A</v>
      </c>
      <c r="S332" s="15"/>
      <c r="T332" s="100"/>
      <c r="U332" s="15"/>
      <c r="V332" s="15"/>
      <c r="W332" s="15"/>
      <c r="X332" s="96"/>
      <c r="Y332" s="69">
        <f ca="1">Table24[[#This Row],[End Date]]+2-TODAY()</f>
        <v>-45775</v>
      </c>
      <c r="Z332" s="15">
        <f>IF(ISBLANK(Table24[[#This Row],[Roster Received By]]),1,0)</f>
        <v>1</v>
      </c>
      <c r="AA332" s="15">
        <f ca="1">IF(Table24[[#This Row],[Start Date]]&gt;TODAY(),1,)</f>
        <v>0</v>
      </c>
    </row>
    <row r="333" spans="1:27" s="103" customFormat="1" ht="15.75" customHeight="1" x14ac:dyDescent="0.25">
      <c r="A333" s="61"/>
      <c r="B333" s="115"/>
      <c r="C333" s="97" t="e">
        <v>#N/A</v>
      </c>
      <c r="D333" s="97" t="e">
        <v>#N/A</v>
      </c>
      <c r="E333" s="126"/>
      <c r="F333" s="107"/>
      <c r="G333" s="107"/>
      <c r="H333" s="102"/>
      <c r="I333" s="102"/>
      <c r="J333" s="102"/>
      <c r="K333" s="102"/>
      <c r="L333" s="102"/>
      <c r="M333" s="102"/>
      <c r="N333" s="99"/>
      <c r="O333" s="96"/>
      <c r="P333" s="96"/>
      <c r="Q333" s="15" t="e">
        <v>#N/A</v>
      </c>
      <c r="R333" s="15" t="e">
        <v>#N/A</v>
      </c>
      <c r="S333" s="15"/>
      <c r="T333" s="100"/>
      <c r="U333" s="15"/>
      <c r="V333" s="15"/>
      <c r="W333" s="15"/>
      <c r="X333" s="96"/>
      <c r="Y333" s="69">
        <f ca="1">Table24[[#This Row],[End Date]]+2-TODAY()</f>
        <v>-45775</v>
      </c>
      <c r="Z333" s="15">
        <f>IF(ISBLANK(Table24[[#This Row],[Roster Received By]]),1,0)</f>
        <v>1</v>
      </c>
      <c r="AA333" s="15">
        <f ca="1">IF(Table24[[#This Row],[Start Date]]&gt;TODAY(),1,)</f>
        <v>0</v>
      </c>
    </row>
    <row r="334" spans="1:27" s="103" customFormat="1" ht="15.75" customHeight="1" x14ac:dyDescent="0.25">
      <c r="A334" s="96"/>
      <c r="B334" s="115"/>
      <c r="C334" s="97" t="e">
        <v>#N/A</v>
      </c>
      <c r="D334" s="97" t="e">
        <v>#N/A</v>
      </c>
      <c r="E334" s="126"/>
      <c r="F334" s="107"/>
      <c r="G334" s="107"/>
      <c r="H334" s="102"/>
      <c r="I334" s="102"/>
      <c r="J334" s="99"/>
      <c r="K334" s="99"/>
      <c r="L334" s="99"/>
      <c r="M334" s="99"/>
      <c r="N334" s="99"/>
      <c r="O334" s="96"/>
      <c r="P334" s="96"/>
      <c r="Q334" s="15" t="e">
        <v>#N/A</v>
      </c>
      <c r="R334" s="15" t="e">
        <v>#N/A</v>
      </c>
      <c r="S334" s="15"/>
      <c r="T334" s="100"/>
      <c r="U334" s="15"/>
      <c r="V334" s="15"/>
      <c r="W334" s="15"/>
      <c r="X334" s="96"/>
      <c r="Y334" s="69">
        <f ca="1">Table24[[#This Row],[End Date]]+2-TODAY()</f>
        <v>-45775</v>
      </c>
      <c r="Z334" s="15">
        <f>IF(ISBLANK(Table24[[#This Row],[Roster Received By]]),1,0)</f>
        <v>1</v>
      </c>
      <c r="AA334" s="15">
        <f ca="1">IF(Table24[[#This Row],[Start Date]]&gt;TODAY(),1,)</f>
        <v>0</v>
      </c>
    </row>
    <row r="335" spans="1:27" s="103" customFormat="1" ht="15.75" customHeight="1" x14ac:dyDescent="0.25">
      <c r="A335" s="61"/>
      <c r="B335" s="115"/>
      <c r="C335" s="97" t="e">
        <v>#N/A</v>
      </c>
      <c r="D335" s="97" t="e">
        <v>#N/A</v>
      </c>
      <c r="E335" s="115"/>
      <c r="F335" s="107"/>
      <c r="G335" s="107"/>
      <c r="H335" s="99"/>
      <c r="I335" s="98"/>
      <c r="J335" s="98"/>
      <c r="K335" s="98"/>
      <c r="L335" s="98"/>
      <c r="M335" s="98"/>
      <c r="N335" s="98"/>
      <c r="O335" s="96"/>
      <c r="P335" s="96"/>
      <c r="Q335" s="15" t="e">
        <v>#N/A</v>
      </c>
      <c r="R335" s="15" t="e">
        <v>#N/A</v>
      </c>
      <c r="S335" s="15"/>
      <c r="T335" s="100"/>
      <c r="U335" s="15"/>
      <c r="V335" s="15"/>
      <c r="W335" s="104"/>
      <c r="X335" s="96"/>
      <c r="Y335" s="69">
        <f ca="1">Table24[[#This Row],[End Date]]+2-TODAY()</f>
        <v>-45775</v>
      </c>
      <c r="Z335" s="15">
        <f>IF(ISBLANK(Table24[[#This Row],[Roster Received By]]),1,0)</f>
        <v>1</v>
      </c>
      <c r="AA335" s="15">
        <f ca="1">IF(Table24[[#This Row],[Start Date]]&gt;TODAY(),1,)</f>
        <v>0</v>
      </c>
    </row>
    <row r="336" spans="1:27" s="103" customFormat="1" ht="15.75" customHeight="1" x14ac:dyDescent="0.25">
      <c r="A336" s="61"/>
      <c r="B336" s="115"/>
      <c r="C336" s="97" t="e">
        <v>#N/A</v>
      </c>
      <c r="D336" s="97" t="e">
        <v>#N/A</v>
      </c>
      <c r="E336" s="115"/>
      <c r="F336" s="107"/>
      <c r="G336" s="107"/>
      <c r="H336" s="102"/>
      <c r="I336" s="102"/>
      <c r="J336" s="102"/>
      <c r="K336" s="102"/>
      <c r="L336" s="102"/>
      <c r="M336" s="102"/>
      <c r="N336" s="99"/>
      <c r="O336" s="96"/>
      <c r="P336" s="96"/>
      <c r="Q336" s="15" t="e">
        <v>#N/A</v>
      </c>
      <c r="R336" s="15" t="e">
        <v>#N/A</v>
      </c>
      <c r="S336" s="15"/>
      <c r="T336" s="100"/>
      <c r="U336" s="15"/>
      <c r="V336" s="15"/>
      <c r="W336" s="15"/>
      <c r="X336" s="96"/>
      <c r="Y336" s="69">
        <f ca="1">Table24[[#This Row],[End Date]]+2-TODAY()</f>
        <v>-45775</v>
      </c>
      <c r="Z336" s="15">
        <f>IF(ISBLANK(Table24[[#This Row],[Roster Received By]]),1,0)</f>
        <v>1</v>
      </c>
      <c r="AA336" s="15">
        <f ca="1">IF(Table24[[#This Row],[Start Date]]&gt;TODAY(),1,)</f>
        <v>0</v>
      </c>
    </row>
    <row r="337" spans="1:27" s="103" customFormat="1" ht="15.75" customHeight="1" x14ac:dyDescent="0.25">
      <c r="A337" s="61"/>
      <c r="B337" s="113"/>
      <c r="C337" s="97" t="e">
        <v>#N/A</v>
      </c>
      <c r="D337" s="97" t="e">
        <v>#N/A</v>
      </c>
      <c r="E337" s="113"/>
      <c r="F337" s="107"/>
      <c r="G337" s="107"/>
      <c r="H337" s="105"/>
      <c r="I337" s="105"/>
      <c r="J337" s="99"/>
      <c r="K337" s="99"/>
      <c r="L337" s="99"/>
      <c r="M337" s="99"/>
      <c r="N337" s="99"/>
      <c r="O337" s="96"/>
      <c r="P337" s="96"/>
      <c r="Q337" s="15" t="e">
        <v>#N/A</v>
      </c>
      <c r="R337" s="15" t="e">
        <v>#N/A</v>
      </c>
      <c r="S337" s="15"/>
      <c r="T337" s="100"/>
      <c r="U337" s="15"/>
      <c r="V337" s="15"/>
      <c r="W337" s="97"/>
      <c r="X337" s="96"/>
      <c r="Y337" s="69">
        <f ca="1">Table24[[#This Row],[End Date]]+2-TODAY()</f>
        <v>-45775</v>
      </c>
      <c r="Z337" s="15">
        <f>IF(ISBLANK(Table24[[#This Row],[Roster Received By]]),1,0)</f>
        <v>1</v>
      </c>
      <c r="AA337" s="15">
        <f ca="1">IF(Table24[[#This Row],[Start Date]]&gt;TODAY(),1,)</f>
        <v>0</v>
      </c>
    </row>
    <row r="338" spans="1:27" s="103" customFormat="1" ht="15.75" customHeight="1" x14ac:dyDescent="0.25">
      <c r="A338" s="61"/>
      <c r="B338" s="113"/>
      <c r="C338" s="97" t="e">
        <v>#N/A</v>
      </c>
      <c r="D338" s="97" t="e">
        <v>#N/A</v>
      </c>
      <c r="E338" s="96"/>
      <c r="F338" s="107"/>
      <c r="G338" s="107"/>
      <c r="H338" s="105"/>
      <c r="I338" s="105"/>
      <c r="J338" s="99"/>
      <c r="K338" s="99"/>
      <c r="L338" s="99"/>
      <c r="M338" s="99"/>
      <c r="N338" s="99"/>
      <c r="O338" s="96"/>
      <c r="P338" s="96"/>
      <c r="Q338" s="15" t="e">
        <v>#N/A</v>
      </c>
      <c r="R338" s="15" t="e">
        <v>#N/A</v>
      </c>
      <c r="S338" s="15"/>
      <c r="T338" s="100"/>
      <c r="U338" s="15"/>
      <c r="V338" s="15"/>
      <c r="W338" s="15"/>
      <c r="X338" s="96"/>
      <c r="Y338" s="69">
        <f ca="1">Table24[[#This Row],[End Date]]+2-TODAY()</f>
        <v>-45775</v>
      </c>
      <c r="Z338" s="15">
        <f>IF(ISBLANK(Table24[[#This Row],[Roster Received By]]),1,0)</f>
        <v>1</v>
      </c>
      <c r="AA338" s="15">
        <f ca="1">IF(Table24[[#This Row],[Start Date]]&gt;TODAY(),1,)</f>
        <v>0</v>
      </c>
    </row>
    <row r="339" spans="1:27" s="103" customFormat="1" ht="15.75" customHeight="1" x14ac:dyDescent="0.25">
      <c r="A339" s="61"/>
      <c r="B339" s="115"/>
      <c r="C339" s="97" t="e">
        <v>#N/A</v>
      </c>
      <c r="D339" s="97" t="e">
        <v>#N/A</v>
      </c>
      <c r="E339" s="113"/>
      <c r="F339" s="107"/>
      <c r="G339" s="107"/>
      <c r="H339" s="99"/>
      <c r="I339" s="98"/>
      <c r="J339" s="98"/>
      <c r="K339" s="98"/>
      <c r="L339" s="98"/>
      <c r="M339" s="98"/>
      <c r="N339" s="98"/>
      <c r="O339" s="96"/>
      <c r="P339" s="96"/>
      <c r="Q339" s="15" t="e">
        <v>#N/A</v>
      </c>
      <c r="R339" s="15" t="e">
        <v>#N/A</v>
      </c>
      <c r="S339" s="15"/>
      <c r="T339" s="100"/>
      <c r="U339" s="15"/>
      <c r="V339" s="15"/>
      <c r="W339" s="15"/>
      <c r="X339" s="96"/>
      <c r="Y339" s="69">
        <f ca="1">Table24[[#This Row],[End Date]]+2-TODAY()</f>
        <v>-45775</v>
      </c>
      <c r="Z339" s="15">
        <f>IF(ISBLANK(Table24[[#This Row],[Roster Received By]]),1,0)</f>
        <v>1</v>
      </c>
      <c r="AA339" s="15">
        <f ca="1">IF(Table24[[#This Row],[Start Date]]&gt;TODAY(),1,)</f>
        <v>0</v>
      </c>
    </row>
    <row r="340" spans="1:27" s="103" customFormat="1" ht="15.75" customHeight="1" x14ac:dyDescent="0.25">
      <c r="A340" s="61"/>
      <c r="B340" s="113"/>
      <c r="C340" s="97" t="e">
        <v>#N/A</v>
      </c>
      <c r="D340" s="97" t="e">
        <v>#N/A</v>
      </c>
      <c r="E340" s="113"/>
      <c r="F340" s="117"/>
      <c r="G340" s="118"/>
      <c r="H340" s="105"/>
      <c r="I340" s="105"/>
      <c r="J340" s="99"/>
      <c r="K340" s="99"/>
      <c r="L340" s="99"/>
      <c r="M340" s="99"/>
      <c r="N340" s="99"/>
      <c r="O340" s="96"/>
      <c r="P340" s="96"/>
      <c r="Q340" s="15" t="e">
        <v>#N/A</v>
      </c>
      <c r="R340" s="15" t="e">
        <v>#N/A</v>
      </c>
      <c r="S340" s="15"/>
      <c r="T340" s="100"/>
      <c r="U340" s="15"/>
      <c r="V340" s="15"/>
      <c r="W340" s="15"/>
      <c r="X340" s="96"/>
      <c r="Y340" s="69">
        <f ca="1">Table24[[#This Row],[End Date]]+2-TODAY()</f>
        <v>-45775</v>
      </c>
      <c r="Z340" s="15">
        <f>IF(ISBLANK(Table24[[#This Row],[Roster Received By]]),1,0)</f>
        <v>1</v>
      </c>
      <c r="AA340" s="15">
        <f ca="1">IF(Table24[[#This Row],[Start Date]]&gt;TODAY(),1,)</f>
        <v>0</v>
      </c>
    </row>
    <row r="341" spans="1:27" s="103" customFormat="1" ht="15.75" customHeight="1" x14ac:dyDescent="0.25">
      <c r="A341" s="96"/>
      <c r="B341" s="113"/>
      <c r="C341" s="97" t="e">
        <v>#N/A</v>
      </c>
      <c r="D341" s="97" t="e">
        <v>#N/A</v>
      </c>
      <c r="E341" s="113"/>
      <c r="F341" s="129"/>
      <c r="G341" s="129"/>
      <c r="H341" s="105"/>
      <c r="I341" s="105"/>
      <c r="J341" s="99"/>
      <c r="K341" s="99"/>
      <c r="L341" s="99"/>
      <c r="M341" s="99"/>
      <c r="N341" s="99"/>
      <c r="O341" s="96"/>
      <c r="P341" s="96"/>
      <c r="Q341" s="15" t="e">
        <v>#N/A</v>
      </c>
      <c r="R341" s="15" t="e">
        <v>#N/A</v>
      </c>
      <c r="S341" s="15"/>
      <c r="T341" s="100"/>
      <c r="U341" s="15"/>
      <c r="V341" s="15"/>
      <c r="W341" s="15"/>
      <c r="X341" s="96"/>
      <c r="Y341" s="69">
        <f ca="1">Table24[[#This Row],[End Date]]+2-TODAY()</f>
        <v>-45775</v>
      </c>
      <c r="Z341" s="15">
        <f>IF(ISBLANK(Table24[[#This Row],[Roster Received By]]),1,0)</f>
        <v>1</v>
      </c>
      <c r="AA341" s="15">
        <f ca="1">IF(Table24[[#This Row],[Start Date]]&gt;TODAY(),1,)</f>
        <v>0</v>
      </c>
    </row>
    <row r="342" spans="1:27" s="103" customFormat="1" ht="15.75" customHeight="1" x14ac:dyDescent="0.25">
      <c r="A342" s="61"/>
      <c r="B342" s="113"/>
      <c r="C342" s="97" t="e">
        <v>#N/A</v>
      </c>
      <c r="D342" s="97" t="e">
        <v>#N/A</v>
      </c>
      <c r="E342" s="65"/>
      <c r="F342" s="130"/>
      <c r="G342" s="130"/>
      <c r="H342" s="98"/>
      <c r="I342" s="98"/>
      <c r="J342" s="99"/>
      <c r="K342" s="99"/>
      <c r="L342" s="99"/>
      <c r="M342" s="99"/>
      <c r="N342" s="99"/>
      <c r="O342" s="96"/>
      <c r="P342" s="96"/>
      <c r="Q342" s="15" t="e">
        <v>#N/A</v>
      </c>
      <c r="R342" s="15" t="e">
        <v>#N/A</v>
      </c>
      <c r="S342" s="15"/>
      <c r="T342" s="100"/>
      <c r="U342" s="15"/>
      <c r="V342" s="15"/>
      <c r="W342" s="15"/>
      <c r="X342" s="96"/>
      <c r="Y342" s="69">
        <f ca="1">Table24[[#This Row],[End Date]]+2-TODAY()</f>
        <v>-45775</v>
      </c>
      <c r="Z342" s="15">
        <f>IF(ISBLANK(Table24[[#This Row],[Roster Received By]]),1,0)</f>
        <v>1</v>
      </c>
      <c r="AA342" s="15">
        <f ca="1">IF(Table24[[#This Row],[Start Date]]&gt;TODAY(),1,)</f>
        <v>0</v>
      </c>
    </row>
    <row r="343" spans="1:27" s="103" customFormat="1" ht="15.75" customHeight="1" x14ac:dyDescent="0.25">
      <c r="A343" s="96"/>
      <c r="B343" s="115"/>
      <c r="C343" s="97" t="e">
        <v>#N/A</v>
      </c>
      <c r="D343" s="97" t="e">
        <v>#N/A</v>
      </c>
      <c r="E343" s="113"/>
      <c r="F343" s="129"/>
      <c r="G343" s="129"/>
      <c r="H343" s="99"/>
      <c r="I343" s="98"/>
      <c r="J343" s="98"/>
      <c r="K343" s="98"/>
      <c r="L343" s="98"/>
      <c r="M343" s="98"/>
      <c r="N343" s="98"/>
      <c r="O343" s="96"/>
      <c r="P343" s="96"/>
      <c r="Q343" s="15" t="e">
        <v>#N/A</v>
      </c>
      <c r="R343" s="15" t="e">
        <v>#N/A</v>
      </c>
      <c r="S343" s="15"/>
      <c r="T343" s="100"/>
      <c r="U343" s="15"/>
      <c r="V343" s="15"/>
      <c r="W343" s="15"/>
      <c r="X343" s="96"/>
      <c r="Y343" s="69">
        <f ca="1">Table24[[#This Row],[End Date]]+2-TODAY()</f>
        <v>-45775</v>
      </c>
      <c r="Z343" s="15">
        <f>IF(ISBLANK(Table24[[#This Row],[Roster Received By]]),1,0)</f>
        <v>1</v>
      </c>
      <c r="AA343" s="15">
        <f ca="1">IF(Table24[[#This Row],[Start Date]]&gt;TODAY(),1,)</f>
        <v>0</v>
      </c>
    </row>
    <row r="344" spans="1:27" s="103" customFormat="1" ht="15.75" customHeight="1" x14ac:dyDescent="0.25">
      <c r="A344" s="96"/>
      <c r="B344" s="113"/>
      <c r="C344" s="97" t="e">
        <v>#N/A</v>
      </c>
      <c r="D344" s="97" t="e">
        <v>#N/A</v>
      </c>
      <c r="E344" s="113"/>
      <c r="F344" s="129"/>
      <c r="G344" s="129"/>
      <c r="H344" s="102"/>
      <c r="I344" s="102"/>
      <c r="J344" s="99"/>
      <c r="K344" s="99"/>
      <c r="L344" s="99"/>
      <c r="M344" s="99"/>
      <c r="N344" s="99"/>
      <c r="O344" s="96"/>
      <c r="P344" s="96"/>
      <c r="Q344" s="15" t="e">
        <v>#N/A</v>
      </c>
      <c r="R344" s="15" t="e">
        <v>#N/A</v>
      </c>
      <c r="S344" s="15"/>
      <c r="T344" s="100"/>
      <c r="U344" s="15"/>
      <c r="V344" s="15"/>
      <c r="W344" s="15"/>
      <c r="X344" s="96"/>
      <c r="Y344" s="69">
        <f ca="1">Table24[[#This Row],[End Date]]+2-TODAY()</f>
        <v>-45775</v>
      </c>
      <c r="Z344" s="15">
        <f>IF(ISBLANK(Table24[[#This Row],[Roster Received By]]),1,0)</f>
        <v>1</v>
      </c>
      <c r="AA344" s="15">
        <f ca="1">IF(Table24[[#This Row],[Start Date]]&gt;TODAY(),1,)</f>
        <v>0</v>
      </c>
    </row>
    <row r="345" spans="1:27" s="103" customFormat="1" ht="15.75" customHeight="1" x14ac:dyDescent="0.25">
      <c r="A345" s="61"/>
      <c r="B345" s="113"/>
      <c r="C345" s="97" t="e">
        <v>#N/A</v>
      </c>
      <c r="D345" s="97" t="e">
        <v>#N/A</v>
      </c>
      <c r="E345" s="65"/>
      <c r="F345" s="129"/>
      <c r="G345" s="129"/>
      <c r="H345" s="102"/>
      <c r="I345" s="102"/>
      <c r="J345" s="99"/>
      <c r="K345" s="99"/>
      <c r="L345" s="99"/>
      <c r="M345" s="99"/>
      <c r="N345" s="99"/>
      <c r="O345" s="96"/>
      <c r="P345" s="96"/>
      <c r="Q345" s="15" t="e">
        <v>#N/A</v>
      </c>
      <c r="R345" s="15" t="e">
        <v>#N/A</v>
      </c>
      <c r="S345" s="15"/>
      <c r="T345" s="100"/>
      <c r="U345" s="15"/>
      <c r="V345" s="15"/>
      <c r="W345" s="15"/>
      <c r="X345" s="96"/>
      <c r="Y345" s="69">
        <f ca="1">Table24[[#This Row],[End Date]]+2-TODAY()</f>
        <v>-45775</v>
      </c>
      <c r="Z345" s="15">
        <f>IF(ISBLANK(Table24[[#This Row],[Roster Received By]]),1,0)</f>
        <v>1</v>
      </c>
      <c r="AA345" s="15">
        <f ca="1">IF(Table24[[#This Row],[Start Date]]&gt;TODAY(),1,)</f>
        <v>0</v>
      </c>
    </row>
    <row r="346" spans="1:27" s="103" customFormat="1" ht="15.75" customHeight="1" x14ac:dyDescent="0.25">
      <c r="A346" s="61"/>
      <c r="B346" s="113"/>
      <c r="C346" s="97" t="e">
        <v>#N/A</v>
      </c>
      <c r="D346" s="97" t="e">
        <v>#N/A</v>
      </c>
      <c r="E346" s="65"/>
      <c r="F346" s="95"/>
      <c r="G346" s="95"/>
      <c r="H346" s="98"/>
      <c r="I346" s="98"/>
      <c r="J346" s="99"/>
      <c r="K346" s="99"/>
      <c r="L346" s="99"/>
      <c r="M346" s="99"/>
      <c r="N346" s="99"/>
      <c r="O346" s="96"/>
      <c r="P346" s="96"/>
      <c r="Q346" s="15" t="e">
        <v>#N/A</v>
      </c>
      <c r="R346" s="15" t="e">
        <v>#N/A</v>
      </c>
      <c r="S346" s="15"/>
      <c r="T346" s="100"/>
      <c r="U346" s="15"/>
      <c r="V346" s="15"/>
      <c r="W346" s="15"/>
      <c r="X346" s="96"/>
      <c r="Y346" s="69">
        <f ca="1">Table24[[#This Row],[End Date]]+2-TODAY()</f>
        <v>-45775</v>
      </c>
      <c r="Z346" s="15">
        <f>IF(ISBLANK(Table24[[#This Row],[Roster Received By]]),1,0)</f>
        <v>1</v>
      </c>
      <c r="AA346" s="15">
        <f ca="1">IF(Table24[[#This Row],[Start Date]]&gt;TODAY(),1,)</f>
        <v>0</v>
      </c>
    </row>
    <row r="347" spans="1:27" s="103" customFormat="1" ht="15.75" customHeight="1" x14ac:dyDescent="0.25">
      <c r="A347" s="61"/>
      <c r="B347" s="113"/>
      <c r="C347" s="97" t="e">
        <v>#N/A</v>
      </c>
      <c r="D347" s="97" t="e">
        <v>#N/A</v>
      </c>
      <c r="E347" s="113"/>
      <c r="F347" s="107"/>
      <c r="G347" s="107"/>
      <c r="H347" s="99"/>
      <c r="I347" s="98"/>
      <c r="J347" s="98"/>
      <c r="K347" s="98"/>
      <c r="L347" s="98"/>
      <c r="M347" s="98"/>
      <c r="N347" s="98"/>
      <c r="O347" s="96"/>
      <c r="P347" s="96"/>
      <c r="Q347" s="15" t="e">
        <v>#N/A</v>
      </c>
      <c r="R347" s="15" t="e">
        <v>#N/A</v>
      </c>
      <c r="S347" s="15"/>
      <c r="T347" s="100"/>
      <c r="U347" s="15"/>
      <c r="V347" s="15"/>
      <c r="W347" s="15"/>
      <c r="X347" s="96"/>
      <c r="Y347" s="69">
        <f ca="1">Table24[[#This Row],[End Date]]+2-TODAY()</f>
        <v>-45775</v>
      </c>
      <c r="Z347" s="15">
        <f>IF(ISBLANK(Table24[[#This Row],[Roster Received By]]),1,0)</f>
        <v>1</v>
      </c>
      <c r="AA347" s="15">
        <f ca="1">IF(Table24[[#This Row],[Start Date]]&gt;TODAY(),1,)</f>
        <v>0</v>
      </c>
    </row>
    <row r="348" spans="1:27" s="97" customFormat="1" x14ac:dyDescent="0.25">
      <c r="A348" s="61"/>
      <c r="B348" s="115"/>
      <c r="C348" s="97" t="e">
        <v>#N/A</v>
      </c>
      <c r="D348" s="97" t="e">
        <v>#N/A</v>
      </c>
      <c r="E348" s="113"/>
      <c r="F348" s="107"/>
      <c r="G348" s="107"/>
      <c r="H348" s="99"/>
      <c r="I348" s="98"/>
      <c r="J348" s="98"/>
      <c r="K348" s="98"/>
      <c r="L348" s="98"/>
      <c r="M348" s="98"/>
      <c r="N348" s="98"/>
      <c r="O348" s="96"/>
      <c r="P348" s="96"/>
      <c r="Q348" s="15" t="e">
        <v>#N/A</v>
      </c>
      <c r="R348" s="15" t="e">
        <v>#N/A</v>
      </c>
      <c r="S348" s="15"/>
      <c r="T348" s="100"/>
      <c r="U348" s="15"/>
      <c r="V348" s="15"/>
      <c r="W348" s="15"/>
      <c r="X348" s="96"/>
      <c r="Y348" s="69">
        <f ca="1">Table24[[#This Row],[End Date]]+2-TODAY()</f>
        <v>-45775</v>
      </c>
      <c r="Z348" s="15">
        <f>IF(ISBLANK(Table24[[#This Row],[Roster Received By]]),1,0)</f>
        <v>1</v>
      </c>
      <c r="AA348" s="15">
        <f ca="1">IF(Table24[[#This Row],[Start Date]]&gt;TODAY(),1,)</f>
        <v>0</v>
      </c>
    </row>
    <row r="349" spans="1:27" s="61" customFormat="1" x14ac:dyDescent="0.25">
      <c r="B349" s="115"/>
      <c r="C349" s="97" t="e">
        <v>#N/A</v>
      </c>
      <c r="D349" s="97" t="e">
        <v>#N/A</v>
      </c>
      <c r="E349" s="65"/>
      <c r="F349" s="95"/>
      <c r="G349" s="95"/>
      <c r="H349" s="98"/>
      <c r="I349" s="98"/>
      <c r="J349" s="99"/>
      <c r="K349" s="99"/>
      <c r="L349" s="99"/>
      <c r="M349" s="99"/>
      <c r="N349" s="99"/>
      <c r="O349" s="96"/>
      <c r="P349" s="96"/>
      <c r="Q349" s="15" t="e">
        <v>#N/A</v>
      </c>
      <c r="R349" s="15" t="e">
        <v>#N/A</v>
      </c>
      <c r="S349" s="15"/>
      <c r="T349" s="100"/>
      <c r="U349" s="15"/>
      <c r="V349" s="15"/>
      <c r="W349" s="97"/>
      <c r="X349" s="96"/>
      <c r="Y349" s="106">
        <f ca="1">Table24[[#This Row],[End Date]]+2-TODAY()</f>
        <v>-45775</v>
      </c>
      <c r="Z349" s="15">
        <f>IF(ISBLANK(Table24[[#This Row],[Roster Received By]]),1,0)</f>
        <v>1</v>
      </c>
      <c r="AA349" s="97">
        <f ca="1">IF(Table24[[#This Row],[Start Date]]&gt;TODAY(),1,)</f>
        <v>0</v>
      </c>
    </row>
    <row r="350" spans="1:27" s="61" customFormat="1" x14ac:dyDescent="0.25">
      <c r="B350" s="113"/>
      <c r="C350" s="97" t="e">
        <v>#N/A</v>
      </c>
      <c r="D350" s="97" t="e">
        <v>#N/A</v>
      </c>
      <c r="E350" s="125"/>
      <c r="F350" s="128"/>
      <c r="G350" s="128"/>
      <c r="H350" s="164"/>
      <c r="I350" s="98"/>
      <c r="J350" s="98"/>
      <c r="K350" s="98"/>
      <c r="L350" s="98"/>
      <c r="M350" s="98"/>
      <c r="N350" s="98"/>
      <c r="O350" s="96"/>
      <c r="P350" s="96"/>
      <c r="Q350" s="15" t="e">
        <v>#N/A</v>
      </c>
      <c r="R350" s="15" t="e">
        <v>#N/A</v>
      </c>
      <c r="S350" s="15"/>
      <c r="T350" s="100"/>
      <c r="U350" s="15"/>
      <c r="V350" s="15"/>
      <c r="W350" s="97"/>
      <c r="X350" s="96"/>
      <c r="Y350" s="106">
        <f ca="1">Table24[[#This Row],[End Date]]+2-TODAY()</f>
        <v>-45775</v>
      </c>
      <c r="Z350" s="15">
        <f>IF(ISBLANK(Table24[[#This Row],[Roster Received By]]),1,0)</f>
        <v>1</v>
      </c>
      <c r="AA350" s="97">
        <f ca="1">IF(Table24[[#This Row],[Start Date]]&gt;TODAY(),1,)</f>
        <v>0</v>
      </c>
    </row>
    <row r="351" spans="1:27" s="61" customFormat="1" x14ac:dyDescent="0.25">
      <c r="B351" s="113"/>
      <c r="C351" s="97" t="e">
        <v>#N/A</v>
      </c>
      <c r="D351" s="97" t="e">
        <v>#N/A</v>
      </c>
      <c r="E351" s="113"/>
      <c r="F351" s="107"/>
      <c r="G351" s="107"/>
      <c r="H351" s="99"/>
      <c r="I351" s="98"/>
      <c r="J351" s="98"/>
      <c r="K351" s="98"/>
      <c r="L351" s="98"/>
      <c r="M351" s="98"/>
      <c r="N351" s="98"/>
      <c r="O351" s="96"/>
      <c r="P351" s="96"/>
      <c r="Q351" s="15" t="e">
        <v>#N/A</v>
      </c>
      <c r="R351" s="15" t="e">
        <v>#N/A</v>
      </c>
      <c r="S351" s="15"/>
      <c r="T351" s="100"/>
      <c r="U351" s="15"/>
      <c r="V351" s="15"/>
      <c r="W351" s="97"/>
      <c r="X351" s="96"/>
      <c r="Y351" s="106">
        <f ca="1">Table24[[#This Row],[End Date]]+2-TODAY()</f>
        <v>-45775</v>
      </c>
      <c r="Z351" s="15">
        <f>IF(ISBLANK(Table24[[#This Row],[Roster Received By]]),1,0)</f>
        <v>1</v>
      </c>
      <c r="AA351" s="97">
        <f ca="1">IF(Table24[[#This Row],[Start Date]]&gt;TODAY(),1,)</f>
        <v>0</v>
      </c>
    </row>
    <row r="352" spans="1:27" s="61" customFormat="1" x14ac:dyDescent="0.25">
      <c r="B352" s="113"/>
      <c r="C352" s="97" t="e">
        <v>#N/A</v>
      </c>
      <c r="D352" s="97" t="e">
        <v>#N/A</v>
      </c>
      <c r="E352" s="113"/>
      <c r="F352" s="107"/>
      <c r="G352" s="107"/>
      <c r="H352" s="99"/>
      <c r="I352" s="98"/>
      <c r="J352" s="98"/>
      <c r="K352" s="98"/>
      <c r="L352" s="98"/>
      <c r="M352" s="98"/>
      <c r="N352" s="98"/>
      <c r="O352" s="96"/>
      <c r="P352" s="96"/>
      <c r="Q352" s="15" t="e">
        <v>#N/A</v>
      </c>
      <c r="R352" s="15" t="e">
        <v>#N/A</v>
      </c>
      <c r="S352" s="15"/>
      <c r="T352" s="100"/>
      <c r="U352" s="15"/>
      <c r="V352" s="15"/>
      <c r="W352" s="97"/>
      <c r="X352" s="96"/>
      <c r="Y352" s="106">
        <f ca="1">Table24[[#This Row],[End Date]]+2-TODAY()</f>
        <v>-45775</v>
      </c>
      <c r="Z352" s="15">
        <f>IF(ISBLANK(Table24[[#This Row],[Roster Received By]]),1,0)</f>
        <v>1</v>
      </c>
      <c r="AA352" s="97">
        <f ca="1">IF(Table24[[#This Row],[Start Date]]&gt;TODAY(),1,)</f>
        <v>0</v>
      </c>
    </row>
    <row r="353" spans="1:27" s="61" customFormat="1" x14ac:dyDescent="0.25">
      <c r="B353" s="113"/>
      <c r="C353" s="97" t="e">
        <v>#N/A</v>
      </c>
      <c r="D353" s="97" t="e">
        <v>#N/A</v>
      </c>
      <c r="E353" s="113"/>
      <c r="F353" s="107"/>
      <c r="G353" s="107"/>
      <c r="H353" s="102"/>
      <c r="I353" s="102"/>
      <c r="J353" s="102"/>
      <c r="K353" s="102"/>
      <c r="L353" s="102"/>
      <c r="M353" s="102"/>
      <c r="N353" s="99"/>
      <c r="O353" s="96"/>
      <c r="P353" s="96"/>
      <c r="Q353" s="15" t="e">
        <v>#N/A</v>
      </c>
      <c r="R353" s="15" t="e">
        <v>#N/A</v>
      </c>
      <c r="S353" s="15"/>
      <c r="T353" s="100"/>
      <c r="U353" s="15"/>
      <c r="V353" s="15"/>
      <c r="W353" s="97"/>
      <c r="X353" s="96"/>
      <c r="Y353" s="106">
        <f ca="1">Table24[[#This Row],[End Date]]+2-TODAY()</f>
        <v>-45775</v>
      </c>
      <c r="Z353" s="15">
        <f>IF(ISBLANK(Table24[[#This Row],[Roster Received By]]),1,0)</f>
        <v>1</v>
      </c>
      <c r="AA353" s="97">
        <f ca="1">IF(Table24[[#This Row],[Start Date]]&gt;TODAY(),1,)</f>
        <v>0</v>
      </c>
    </row>
    <row r="354" spans="1:27" s="61" customFormat="1" x14ac:dyDescent="0.25">
      <c r="A354" s="96"/>
      <c r="B354" s="115"/>
      <c r="C354" s="97" t="e">
        <v>#N/A</v>
      </c>
      <c r="D354" s="97" t="e">
        <v>#N/A</v>
      </c>
      <c r="E354" s="113"/>
      <c r="F354" s="107"/>
      <c r="G354" s="107"/>
      <c r="H354" s="102"/>
      <c r="I354" s="102"/>
      <c r="J354" s="99"/>
      <c r="K354" s="99"/>
      <c r="L354" s="99"/>
      <c r="M354" s="99"/>
      <c r="N354" s="99"/>
      <c r="O354" s="96"/>
      <c r="P354" s="96"/>
      <c r="Q354" s="15" t="e">
        <v>#N/A</v>
      </c>
      <c r="R354" s="15" t="e">
        <v>#N/A</v>
      </c>
      <c r="S354" s="15"/>
      <c r="T354" s="100"/>
      <c r="U354" s="15"/>
      <c r="V354" s="15"/>
      <c r="W354" s="97"/>
      <c r="X354" s="96"/>
      <c r="Y354" s="106">
        <f ca="1">Table24[[#This Row],[End Date]]+2-TODAY()</f>
        <v>-45775</v>
      </c>
      <c r="Z354" s="15">
        <f>IF(ISBLANK(Table24[[#This Row],[Roster Received By]]),1,0)</f>
        <v>1</v>
      </c>
      <c r="AA354" s="97">
        <f ca="1">IF(Table24[[#This Row],[Start Date]]&gt;TODAY(),1,)</f>
        <v>0</v>
      </c>
    </row>
    <row r="355" spans="1:27" s="61" customFormat="1" x14ac:dyDescent="0.25">
      <c r="B355" s="113"/>
      <c r="C355" s="97" t="e">
        <v>#N/A</v>
      </c>
      <c r="D355" s="97" t="e">
        <v>#N/A</v>
      </c>
      <c r="E355" s="113"/>
      <c r="F355" s="107"/>
      <c r="G355" s="107"/>
      <c r="H355" s="102"/>
      <c r="I355" s="102"/>
      <c r="J355" s="99"/>
      <c r="K355" s="99"/>
      <c r="L355" s="99"/>
      <c r="M355" s="99"/>
      <c r="N355" s="99"/>
      <c r="O355" s="96"/>
      <c r="P355" s="96"/>
      <c r="Q355" s="15" t="e">
        <v>#N/A</v>
      </c>
      <c r="R355" s="15" t="e">
        <v>#N/A</v>
      </c>
      <c r="S355" s="100"/>
      <c r="T355" s="100"/>
      <c r="U355" s="15"/>
      <c r="V355" s="15"/>
      <c r="W355" s="97"/>
      <c r="X355" s="96"/>
      <c r="Y355" s="106">
        <f ca="1">Table24[[#This Row],[End Date]]+2-TODAY()</f>
        <v>-45775</v>
      </c>
      <c r="Z355" s="15">
        <f>IF(ISBLANK(Table24[[#This Row],[Roster Received By]]),1,0)</f>
        <v>1</v>
      </c>
      <c r="AA355" s="97">
        <f ca="1">IF(Table24[[#This Row],[Start Date]]&gt;TODAY(),1,)</f>
        <v>0</v>
      </c>
    </row>
    <row r="356" spans="1:27" s="61" customFormat="1" x14ac:dyDescent="0.25">
      <c r="B356" s="113"/>
      <c r="C356" s="97" t="e">
        <v>#N/A</v>
      </c>
      <c r="D356" s="97" t="e">
        <v>#N/A</v>
      </c>
      <c r="E356" s="65"/>
      <c r="F356" s="107"/>
      <c r="G356" s="107"/>
      <c r="H356" s="102"/>
      <c r="I356" s="102"/>
      <c r="J356" s="99"/>
      <c r="K356" s="99"/>
      <c r="L356" s="99"/>
      <c r="M356" s="99"/>
      <c r="N356" s="99"/>
      <c r="O356" s="96"/>
      <c r="P356" s="96"/>
      <c r="Q356" s="15" t="e">
        <v>#N/A</v>
      </c>
      <c r="R356" s="15" t="e">
        <v>#N/A</v>
      </c>
      <c r="S356" s="15"/>
      <c r="T356" s="100"/>
      <c r="U356" s="15"/>
      <c r="V356" s="15"/>
      <c r="W356" s="97"/>
      <c r="X356" s="96"/>
      <c r="Y356" s="106">
        <f ca="1">Table24[[#This Row],[End Date]]+2-TODAY()</f>
        <v>-45775</v>
      </c>
      <c r="Z356" s="15">
        <f>IF(ISBLANK(Table24[[#This Row],[Roster Received By]]),1,0)</f>
        <v>1</v>
      </c>
      <c r="AA356" s="97">
        <f ca="1">IF(Table24[[#This Row],[Start Date]]&gt;TODAY(),1,)</f>
        <v>0</v>
      </c>
    </row>
    <row r="357" spans="1:27" s="61" customFormat="1" x14ac:dyDescent="0.25">
      <c r="A357" s="96"/>
      <c r="B357" s="115"/>
      <c r="C357" s="97" t="e">
        <v>#N/A</v>
      </c>
      <c r="D357" s="97" t="e">
        <v>#N/A</v>
      </c>
      <c r="E357" s="113"/>
      <c r="F357" s="99"/>
      <c r="G357" s="99"/>
      <c r="H357" s="102"/>
      <c r="I357" s="102"/>
      <c r="J357" s="99"/>
      <c r="K357" s="99"/>
      <c r="L357" s="99"/>
      <c r="M357" s="99"/>
      <c r="N357" s="99"/>
      <c r="O357" s="96"/>
      <c r="P357" s="96"/>
      <c r="Q357" s="15" t="e">
        <v>#N/A</v>
      </c>
      <c r="R357" s="15" t="e">
        <v>#N/A</v>
      </c>
      <c r="S357" s="15"/>
      <c r="T357" s="100"/>
      <c r="U357" s="15"/>
      <c r="V357" s="15"/>
      <c r="W357" s="97"/>
      <c r="X357" s="96"/>
      <c r="Y357" s="106">
        <f ca="1">Table24[[#This Row],[End Date]]+2-TODAY()</f>
        <v>-45775</v>
      </c>
      <c r="Z357" s="15">
        <f>IF(ISBLANK(Table24[[#This Row],[Roster Received By]]),1,0)</f>
        <v>1</v>
      </c>
      <c r="AA357" s="97">
        <f ca="1">IF(Table24[[#This Row],[Start Date]]&gt;TODAY(),1,)</f>
        <v>0</v>
      </c>
    </row>
    <row r="358" spans="1:27" s="61" customFormat="1" x14ac:dyDescent="0.25">
      <c r="B358" s="124"/>
      <c r="C358" s="97" t="e">
        <v>#N/A</v>
      </c>
      <c r="D358" s="97" t="e">
        <v>#N/A</v>
      </c>
      <c r="E358" s="113"/>
      <c r="F358" s="99"/>
      <c r="G358" s="99"/>
      <c r="H358" s="99"/>
      <c r="I358" s="98"/>
      <c r="J358" s="98"/>
      <c r="K358" s="98"/>
      <c r="L358" s="98"/>
      <c r="M358" s="98"/>
      <c r="N358" s="98"/>
      <c r="O358" s="96"/>
      <c r="P358" s="96"/>
      <c r="Q358" s="15" t="e">
        <v>#N/A</v>
      </c>
      <c r="R358" s="15" t="e">
        <v>#N/A</v>
      </c>
      <c r="S358" s="15"/>
      <c r="T358" s="100"/>
      <c r="U358" s="15"/>
      <c r="V358" s="15"/>
      <c r="W358" s="97"/>
      <c r="X358" s="96"/>
      <c r="Y358" s="106">
        <f ca="1">Table24[[#This Row],[End Date]]+2-TODAY()</f>
        <v>-45775</v>
      </c>
      <c r="Z358" s="15">
        <f>IF(ISBLANK(Table24[[#This Row],[Roster Received By]]),1,0)</f>
        <v>1</v>
      </c>
      <c r="AA358" s="97">
        <f ca="1">IF(Table24[[#This Row],[Start Date]]&gt;TODAY(),1,)</f>
        <v>0</v>
      </c>
    </row>
    <row r="359" spans="1:27" s="61" customFormat="1" x14ac:dyDescent="0.25">
      <c r="B359" s="115"/>
      <c r="C359" s="97" t="e">
        <v>#N/A</v>
      </c>
      <c r="D359" s="97" t="e">
        <v>#N/A</v>
      </c>
      <c r="E359" s="113"/>
      <c r="F359" s="99"/>
      <c r="G359" s="99"/>
      <c r="H359" s="102"/>
      <c r="I359" s="102"/>
      <c r="J359" s="99"/>
      <c r="K359" s="99"/>
      <c r="L359" s="99"/>
      <c r="M359" s="99"/>
      <c r="N359" s="99"/>
      <c r="O359" s="96"/>
      <c r="P359" s="96"/>
      <c r="Q359" s="15" t="e">
        <v>#N/A</v>
      </c>
      <c r="R359" s="15" t="e">
        <v>#N/A</v>
      </c>
      <c r="S359" s="15"/>
      <c r="T359" s="100"/>
      <c r="U359" s="15"/>
      <c r="V359" s="15"/>
      <c r="W359" s="97"/>
      <c r="X359" s="96"/>
      <c r="Y359" s="106">
        <f ca="1">Table24[[#This Row],[End Date]]+2-TODAY()</f>
        <v>-45775</v>
      </c>
      <c r="Z359" s="15">
        <f>IF(ISBLANK(Table24[[#This Row],[Roster Received By]]),1,0)</f>
        <v>1</v>
      </c>
      <c r="AA359" s="97">
        <f ca="1">IF(Table24[[#This Row],[Start Date]]&gt;TODAY(),1,)</f>
        <v>0</v>
      </c>
    </row>
    <row r="360" spans="1:27" s="61" customFormat="1" x14ac:dyDescent="0.25">
      <c r="B360" s="113"/>
      <c r="C360" s="97" t="e">
        <v>#N/A</v>
      </c>
      <c r="D360" s="97" t="e">
        <v>#N/A</v>
      </c>
      <c r="E360" s="96"/>
      <c r="F360" s="99"/>
      <c r="G360" s="99"/>
      <c r="H360" s="102"/>
      <c r="I360" s="109"/>
      <c r="J360" s="109"/>
      <c r="K360" s="109"/>
      <c r="L360" s="109"/>
      <c r="M360" s="109"/>
      <c r="N360" s="109"/>
      <c r="O360" s="96"/>
      <c r="P360" s="96"/>
      <c r="Q360" s="15" t="e">
        <v>#N/A</v>
      </c>
      <c r="R360" s="15" t="e">
        <v>#N/A</v>
      </c>
      <c r="S360" s="100"/>
      <c r="T360" s="110"/>
      <c r="U360" s="110"/>
      <c r="V360" s="110"/>
      <c r="W360" s="110"/>
      <c r="X360" s="96"/>
      <c r="Y360" s="110"/>
    </row>
    <row r="361" spans="1:27" s="61" customFormat="1" x14ac:dyDescent="0.25">
      <c r="A361" s="64"/>
      <c r="B361" s="113"/>
      <c r="C361" s="97" t="e">
        <v>#N/A</v>
      </c>
      <c r="D361" s="97" t="e">
        <v>#N/A</v>
      </c>
      <c r="E361" s="113"/>
      <c r="F361" s="99"/>
      <c r="G361" s="99"/>
      <c r="H361" s="99"/>
      <c r="I361" s="98"/>
      <c r="J361" s="98"/>
      <c r="K361" s="98"/>
      <c r="L361" s="98"/>
      <c r="M361" s="98"/>
      <c r="N361" s="98"/>
      <c r="O361" s="96"/>
      <c r="P361" s="96"/>
      <c r="Q361" s="15" t="e">
        <v>#N/A</v>
      </c>
      <c r="R361" s="15" t="e">
        <v>#N/A</v>
      </c>
      <c r="S361" s="15"/>
      <c r="T361" s="100"/>
      <c r="U361" s="15"/>
      <c r="V361" s="15"/>
      <c r="W361" s="97"/>
      <c r="X361" s="96"/>
      <c r="Y361" s="106">
        <f ca="1">Table24[[#This Row],[End Date]]+2-TODAY()</f>
        <v>-45775</v>
      </c>
      <c r="Z361" s="15">
        <f>IF(ISBLANK(Table24[[#This Row],[Roster Received By]]),1,0)</f>
        <v>1</v>
      </c>
      <c r="AA361" s="97">
        <f ca="1">IF(Table24[[#This Row],[Start Date]]&gt;TODAY(),1,)</f>
        <v>0</v>
      </c>
    </row>
    <row r="362" spans="1:27" s="61" customFormat="1" x14ac:dyDescent="0.25">
      <c r="B362" s="113"/>
      <c r="C362" s="97" t="e">
        <v>#N/A</v>
      </c>
      <c r="D362" s="97" t="e">
        <v>#N/A</v>
      </c>
      <c r="E362" s="113"/>
      <c r="F362" s="99"/>
      <c r="G362" s="99"/>
      <c r="H362" s="102"/>
      <c r="I362" s="102"/>
      <c r="J362" s="99"/>
      <c r="K362" s="99"/>
      <c r="L362" s="99"/>
      <c r="M362" s="99"/>
      <c r="N362" s="99"/>
      <c r="O362" s="96"/>
      <c r="P362" s="96"/>
      <c r="Q362" s="15" t="e">
        <v>#N/A</v>
      </c>
      <c r="R362" s="15" t="e">
        <v>#N/A</v>
      </c>
      <c r="S362" s="15"/>
      <c r="T362" s="100"/>
      <c r="U362" s="15"/>
      <c r="V362" s="15"/>
      <c r="W362" s="97"/>
      <c r="X362" s="96"/>
      <c r="Y362" s="106">
        <f ca="1">Table24[[#This Row],[End Date]]+2-TODAY()</f>
        <v>-45775</v>
      </c>
      <c r="Z362" s="15">
        <f>IF(ISBLANK(Table24[[#This Row],[Roster Received By]]),1,0)</f>
        <v>1</v>
      </c>
      <c r="AA362" s="97">
        <f ca="1">IF(Table24[[#This Row],[Start Date]]&gt;TODAY(),1,)</f>
        <v>0</v>
      </c>
    </row>
    <row r="363" spans="1:27" s="61" customFormat="1" x14ac:dyDescent="0.25">
      <c r="A363" s="96"/>
      <c r="B363" s="115"/>
      <c r="C363" s="97" t="e">
        <v>#N/A</v>
      </c>
      <c r="D363" s="97" t="e">
        <v>#N/A</v>
      </c>
      <c r="E363" s="113"/>
      <c r="F363" s="99"/>
      <c r="G363" s="99"/>
      <c r="H363" s="102"/>
      <c r="I363" s="102"/>
      <c r="J363" s="99"/>
      <c r="K363" s="99"/>
      <c r="L363" s="99"/>
      <c r="M363" s="99"/>
      <c r="N363" s="99"/>
      <c r="O363" s="96"/>
      <c r="P363" s="96"/>
      <c r="Q363" s="15" t="e">
        <v>#N/A</v>
      </c>
      <c r="R363" s="15" t="e">
        <v>#N/A</v>
      </c>
      <c r="S363" s="15"/>
      <c r="T363" s="100"/>
      <c r="U363" s="15"/>
      <c r="V363" s="15"/>
      <c r="W363" s="97"/>
      <c r="X363" s="96"/>
      <c r="Y363" s="106">
        <f ca="1">Table24[[#This Row],[End Date]]+2-TODAY()</f>
        <v>-45775</v>
      </c>
      <c r="Z363" s="15">
        <f>IF(ISBLANK(Table24[[#This Row],[Roster Received By]]),1,0)</f>
        <v>1</v>
      </c>
      <c r="AA363" s="97">
        <f ca="1">IF(Table24[[#This Row],[Start Date]]&gt;TODAY(),1,)</f>
        <v>0</v>
      </c>
    </row>
    <row r="364" spans="1:27" s="61" customFormat="1" x14ac:dyDescent="0.25">
      <c r="B364" s="113"/>
      <c r="C364" s="97" t="e">
        <v>#N/A</v>
      </c>
      <c r="D364" s="97" t="e">
        <v>#N/A</v>
      </c>
      <c r="E364" s="113"/>
      <c r="F364" s="99"/>
      <c r="G364" s="99"/>
      <c r="H364" s="99"/>
      <c r="I364" s="98"/>
      <c r="J364" s="98"/>
      <c r="K364" s="98"/>
      <c r="L364" s="98"/>
      <c r="M364" s="98"/>
      <c r="N364" s="98"/>
      <c r="O364" s="96"/>
      <c r="P364" s="96"/>
      <c r="Q364" s="15" t="e">
        <v>#N/A</v>
      </c>
      <c r="R364" s="15" t="e">
        <v>#N/A</v>
      </c>
      <c r="S364" s="15"/>
      <c r="T364" s="100"/>
      <c r="U364" s="15"/>
      <c r="V364" s="15"/>
      <c r="W364" s="97"/>
      <c r="X364" s="96"/>
      <c r="Y364" s="106">
        <f ca="1">Table24[[#This Row],[End Date]]+2-TODAY()</f>
        <v>-45775</v>
      </c>
      <c r="Z364" s="15">
        <f>IF(ISBLANK(Table24[[#This Row],[Roster Received By]]),1,0)</f>
        <v>1</v>
      </c>
      <c r="AA364" s="97">
        <f ca="1">IF(Table24[[#This Row],[Start Date]]&gt;TODAY(),1,)</f>
        <v>0</v>
      </c>
    </row>
    <row r="365" spans="1:27" s="61" customFormat="1" x14ac:dyDescent="0.25">
      <c r="B365" s="113"/>
      <c r="C365" s="97" t="e">
        <v>#N/A</v>
      </c>
      <c r="D365" s="97" t="e">
        <v>#N/A</v>
      </c>
      <c r="E365" s="113"/>
      <c r="F365" s="99"/>
      <c r="G365" s="99"/>
      <c r="H365" s="99"/>
      <c r="I365" s="98"/>
      <c r="J365" s="98"/>
      <c r="K365" s="98"/>
      <c r="L365" s="98"/>
      <c r="M365" s="98"/>
      <c r="N365" s="98"/>
      <c r="O365" s="96"/>
      <c r="P365" s="96"/>
      <c r="Q365" s="15" t="e">
        <v>#N/A</v>
      </c>
      <c r="R365" s="15" t="e">
        <v>#N/A</v>
      </c>
      <c r="S365" s="15"/>
      <c r="T365" s="100"/>
      <c r="U365" s="15"/>
      <c r="V365" s="15"/>
      <c r="W365" s="97"/>
      <c r="X365" s="96"/>
      <c r="Y365" s="106">
        <f ca="1">Table24[[#This Row],[End Date]]+2-TODAY()</f>
        <v>-45775</v>
      </c>
      <c r="Z365" s="15">
        <f>IF(ISBLANK(Table24[[#This Row],[Roster Received By]]),1,0)</f>
        <v>1</v>
      </c>
      <c r="AA365" s="97">
        <f ca="1">IF(Table24[[#This Row],[Start Date]]&gt;TODAY(),1,)</f>
        <v>0</v>
      </c>
    </row>
    <row r="366" spans="1:27" s="61" customFormat="1" x14ac:dyDescent="0.25">
      <c r="B366" s="113"/>
      <c r="C366" s="97" t="e">
        <v>#N/A</v>
      </c>
      <c r="D366" s="97" t="e">
        <v>#N/A</v>
      </c>
      <c r="E366" s="113"/>
      <c r="F366" s="99"/>
      <c r="G366" s="99"/>
      <c r="H366" s="99"/>
      <c r="I366" s="98"/>
      <c r="J366" s="98"/>
      <c r="K366" s="98"/>
      <c r="L366" s="98"/>
      <c r="M366" s="98"/>
      <c r="N366" s="98"/>
      <c r="O366" s="96"/>
      <c r="P366" s="96"/>
      <c r="Q366" s="15" t="e">
        <v>#N/A</v>
      </c>
      <c r="R366" s="15" t="e">
        <v>#N/A</v>
      </c>
      <c r="S366" s="15"/>
      <c r="T366" s="100"/>
      <c r="U366" s="15"/>
      <c r="V366" s="15"/>
      <c r="W366" s="97"/>
      <c r="X366" s="96"/>
      <c r="Y366" s="106">
        <f ca="1">Table24[[#This Row],[End Date]]+2-TODAY()</f>
        <v>-45775</v>
      </c>
      <c r="Z366" s="15">
        <f>IF(ISBLANK(Table24[[#This Row],[Roster Received By]]),1,0)</f>
        <v>1</v>
      </c>
      <c r="AA366" s="97">
        <f ca="1">IF(Table24[[#This Row],[Start Date]]&gt;TODAY(),1,)</f>
        <v>0</v>
      </c>
    </row>
    <row r="367" spans="1:27" s="61" customFormat="1" x14ac:dyDescent="0.25">
      <c r="B367" s="113"/>
      <c r="C367" s="97" t="e">
        <v>#N/A</v>
      </c>
      <c r="D367" s="97" t="e">
        <v>#N/A</v>
      </c>
      <c r="E367" s="96"/>
      <c r="F367" s="99"/>
      <c r="G367" s="99"/>
      <c r="H367" s="99"/>
      <c r="I367" s="98"/>
      <c r="J367" s="98"/>
      <c r="K367" s="98"/>
      <c r="L367" s="98"/>
      <c r="M367" s="98"/>
      <c r="N367" s="98"/>
      <c r="O367" s="96"/>
      <c r="P367" s="96"/>
      <c r="Q367" s="15" t="e">
        <v>#N/A</v>
      </c>
      <c r="R367" s="15" t="e">
        <v>#N/A</v>
      </c>
      <c r="S367" s="15"/>
      <c r="T367" s="100"/>
      <c r="U367" s="15"/>
      <c r="V367" s="15"/>
      <c r="W367" s="97"/>
      <c r="X367" s="96"/>
      <c r="Y367" s="106">
        <f ca="1">Table24[[#This Row],[End Date]]+2-TODAY()</f>
        <v>-45775</v>
      </c>
      <c r="Z367" s="15">
        <f>IF(ISBLANK(Table24[[#This Row],[Roster Received By]]),1,0)</f>
        <v>1</v>
      </c>
      <c r="AA367" s="97">
        <f ca="1">IF(Table24[[#This Row],[Start Date]]&gt;TODAY(),1,)</f>
        <v>0</v>
      </c>
    </row>
    <row r="368" spans="1:27" s="61" customFormat="1" x14ac:dyDescent="0.25">
      <c r="B368" s="113"/>
      <c r="C368" s="97" t="e">
        <v>#N/A</v>
      </c>
      <c r="D368" s="97" t="e">
        <v>#N/A</v>
      </c>
      <c r="E368" s="113"/>
      <c r="F368" s="99"/>
      <c r="G368" s="99"/>
      <c r="H368" s="102"/>
      <c r="I368" s="102"/>
      <c r="J368" s="99"/>
      <c r="K368" s="99"/>
      <c r="L368" s="99"/>
      <c r="M368" s="99"/>
      <c r="N368" s="99"/>
      <c r="O368" s="96"/>
      <c r="P368" s="96"/>
      <c r="Q368" s="15" t="e">
        <v>#N/A</v>
      </c>
      <c r="R368" s="15" t="e">
        <v>#N/A</v>
      </c>
      <c r="S368" s="15"/>
      <c r="T368" s="100"/>
      <c r="U368" s="15"/>
      <c r="V368" s="15"/>
      <c r="W368" s="97"/>
      <c r="X368" s="96"/>
      <c r="Y368" s="106">
        <f ca="1">Table24[[#This Row],[End Date]]+2-TODAY()</f>
        <v>-45775</v>
      </c>
      <c r="Z368" s="15">
        <f>IF(ISBLANK(Table24[[#This Row],[Roster Received By]]),1,0)</f>
        <v>1</v>
      </c>
      <c r="AA368" s="97">
        <f ca="1">IF(Table24[[#This Row],[Start Date]]&gt;TODAY(),1,)</f>
        <v>0</v>
      </c>
    </row>
    <row r="369" spans="1:27" s="61" customFormat="1" x14ac:dyDescent="0.25">
      <c r="B369" s="113"/>
      <c r="C369" s="97" t="e">
        <v>#N/A</v>
      </c>
      <c r="D369" s="97" t="e">
        <v>#N/A</v>
      </c>
      <c r="E369" s="113"/>
      <c r="F369" s="99"/>
      <c r="G369" s="99"/>
      <c r="H369" s="102"/>
      <c r="I369" s="102"/>
      <c r="J369" s="99"/>
      <c r="K369" s="99"/>
      <c r="L369" s="99"/>
      <c r="M369" s="99"/>
      <c r="N369" s="99"/>
      <c r="O369" s="96"/>
      <c r="P369" s="96"/>
      <c r="Q369" s="15" t="e">
        <v>#N/A</v>
      </c>
      <c r="R369" s="15" t="e">
        <v>#N/A</v>
      </c>
      <c r="S369" s="15"/>
      <c r="T369" s="100"/>
      <c r="U369" s="15"/>
      <c r="V369" s="15"/>
      <c r="W369" s="97"/>
      <c r="X369" s="96"/>
      <c r="Y369" s="106">
        <f ca="1">Table24[[#This Row],[End Date]]+2-TODAY()</f>
        <v>-45775</v>
      </c>
      <c r="Z369" s="15">
        <f>IF(ISBLANK(Table24[[#This Row],[Roster Received By]]),1,0)</f>
        <v>1</v>
      </c>
      <c r="AA369" s="97">
        <f ca="1">IF(Table24[[#This Row],[Start Date]]&gt;TODAY(),1,)</f>
        <v>0</v>
      </c>
    </row>
    <row r="370" spans="1:27" s="61" customFormat="1" x14ac:dyDescent="0.25">
      <c r="B370" s="113"/>
      <c r="C370" s="97" t="e">
        <v>#N/A</v>
      </c>
      <c r="D370" s="97" t="e">
        <v>#N/A</v>
      </c>
      <c r="E370" s="113"/>
      <c r="F370" s="99"/>
      <c r="G370" s="99"/>
      <c r="H370" s="102"/>
      <c r="I370" s="102"/>
      <c r="J370" s="99"/>
      <c r="K370" s="99"/>
      <c r="L370" s="99"/>
      <c r="M370" s="99"/>
      <c r="N370" s="99"/>
      <c r="O370" s="96"/>
      <c r="P370" s="96"/>
      <c r="Q370" s="15" t="e">
        <v>#N/A</v>
      </c>
      <c r="R370" s="15" t="e">
        <v>#N/A</v>
      </c>
      <c r="S370" s="15"/>
      <c r="T370" s="100"/>
      <c r="U370" s="15"/>
      <c r="V370" s="15"/>
      <c r="W370" s="97"/>
      <c r="X370" s="96"/>
      <c r="Y370" s="106">
        <f ca="1">Table24[[#This Row],[End Date]]+2-TODAY()</f>
        <v>-45775</v>
      </c>
      <c r="Z370" s="15">
        <f>IF(ISBLANK(Table24[[#This Row],[Roster Received By]]),1,0)</f>
        <v>1</v>
      </c>
      <c r="AA370" s="97">
        <f ca="1">IF(Table24[[#This Row],[Start Date]]&gt;TODAY(),1,)</f>
        <v>0</v>
      </c>
    </row>
    <row r="371" spans="1:27" s="61" customFormat="1" x14ac:dyDescent="0.25">
      <c r="B371" s="113"/>
      <c r="C371" s="97" t="e">
        <v>#N/A</v>
      </c>
      <c r="D371" s="97" t="e">
        <v>#N/A</v>
      </c>
      <c r="E371" s="113"/>
      <c r="F371" s="99"/>
      <c r="G371" s="99"/>
      <c r="H371" s="102"/>
      <c r="I371" s="102"/>
      <c r="J371" s="99"/>
      <c r="K371" s="99"/>
      <c r="L371" s="99"/>
      <c r="M371" s="99"/>
      <c r="N371" s="99"/>
      <c r="O371" s="96"/>
      <c r="P371" s="96"/>
      <c r="Q371" s="15" t="e">
        <v>#N/A</v>
      </c>
      <c r="R371" s="15" t="e">
        <v>#N/A</v>
      </c>
      <c r="S371" s="15"/>
      <c r="T371" s="100"/>
      <c r="U371" s="15"/>
      <c r="V371" s="15"/>
      <c r="W371" s="97"/>
      <c r="X371" s="96"/>
      <c r="Y371" s="106">
        <f ca="1">Table24[[#This Row],[End Date]]+2-TODAY()</f>
        <v>-45775</v>
      </c>
      <c r="Z371" s="15">
        <f>IF(ISBLANK(Table24[[#This Row],[Roster Received By]]),1,0)</f>
        <v>1</v>
      </c>
      <c r="AA371" s="97">
        <f ca="1">IF(Table24[[#This Row],[Start Date]]&gt;TODAY(),1,)</f>
        <v>0</v>
      </c>
    </row>
    <row r="372" spans="1:27" s="61" customFormat="1" x14ac:dyDescent="0.25">
      <c r="B372" s="113"/>
      <c r="C372" s="97" t="e">
        <v>#N/A</v>
      </c>
      <c r="D372" s="97" t="e">
        <v>#N/A</v>
      </c>
      <c r="E372" s="65"/>
      <c r="F372" s="95"/>
      <c r="G372" s="95"/>
      <c r="H372" s="66"/>
      <c r="I372" s="98"/>
      <c r="J372" s="98"/>
      <c r="K372" s="98"/>
      <c r="L372" s="98"/>
      <c r="M372" s="98"/>
      <c r="N372" s="98"/>
      <c r="O372" s="96"/>
      <c r="P372" s="96"/>
      <c r="Q372" s="15" t="e">
        <v>#N/A</v>
      </c>
      <c r="R372" s="15" t="e">
        <v>#N/A</v>
      </c>
      <c r="S372" s="15"/>
      <c r="T372" s="100"/>
      <c r="U372" s="15"/>
      <c r="V372" s="15"/>
      <c r="W372" s="97"/>
      <c r="X372" s="96"/>
      <c r="Y372" s="106">
        <f ca="1">Table24[[#This Row],[End Date]]+2-TODAY()</f>
        <v>-45775</v>
      </c>
      <c r="Z372" s="15">
        <f>IF(ISBLANK(Table24[[#This Row],[Roster Received By]]),1,0)</f>
        <v>1</v>
      </c>
      <c r="AA372" s="97">
        <f ca="1">IF(Table24[[#This Row],[Start Date]]&gt;TODAY(),1,)</f>
        <v>0</v>
      </c>
    </row>
    <row r="373" spans="1:27" s="61" customFormat="1" x14ac:dyDescent="0.25">
      <c r="B373" s="113"/>
      <c r="C373" s="97" t="e">
        <v>#N/A</v>
      </c>
      <c r="D373" s="97" t="e">
        <v>#N/A</v>
      </c>
      <c r="E373" s="113"/>
      <c r="F373" s="107"/>
      <c r="G373" s="107"/>
      <c r="H373" s="102"/>
      <c r="I373" s="102"/>
      <c r="J373" s="99"/>
      <c r="K373" s="99"/>
      <c r="L373" s="99"/>
      <c r="M373" s="99"/>
      <c r="N373" s="99"/>
      <c r="O373" s="96"/>
      <c r="P373" s="96"/>
      <c r="Q373" s="15" t="e">
        <v>#N/A</v>
      </c>
      <c r="R373" s="15" t="e">
        <v>#N/A</v>
      </c>
      <c r="S373" s="15"/>
      <c r="T373" s="100"/>
      <c r="U373" s="15"/>
      <c r="V373" s="15"/>
      <c r="W373" s="97"/>
      <c r="X373" s="96"/>
      <c r="Y373" s="106">
        <f ca="1">Table24[[#This Row],[End Date]]+2-TODAY()</f>
        <v>-45775</v>
      </c>
      <c r="Z373" s="15">
        <f>IF(ISBLANK(Table24[[#This Row],[Roster Received By]]),1,0)</f>
        <v>1</v>
      </c>
      <c r="AA373" s="97">
        <f ca="1">IF(Table24[[#This Row],[Start Date]]&gt;TODAY(),1,)</f>
        <v>0</v>
      </c>
    </row>
    <row r="374" spans="1:27" s="61" customFormat="1" x14ac:dyDescent="0.25">
      <c r="A374" s="96"/>
      <c r="B374" s="113"/>
      <c r="C374" s="97" t="e">
        <v>#N/A</v>
      </c>
      <c r="D374" s="97" t="e">
        <v>#N/A</v>
      </c>
      <c r="E374" s="113"/>
      <c r="F374" s="107"/>
      <c r="G374" s="107"/>
      <c r="H374" s="102"/>
      <c r="I374" s="102"/>
      <c r="J374" s="99"/>
      <c r="K374" s="99"/>
      <c r="L374" s="99"/>
      <c r="M374" s="99"/>
      <c r="N374" s="99"/>
      <c r="O374" s="96"/>
      <c r="P374" s="96"/>
      <c r="Q374" s="15" t="e">
        <v>#N/A</v>
      </c>
      <c r="R374" s="15" t="e">
        <v>#N/A</v>
      </c>
      <c r="S374" s="15"/>
      <c r="T374" s="100"/>
      <c r="U374" s="15"/>
      <c r="V374" s="15"/>
      <c r="W374" s="97"/>
      <c r="X374" s="96"/>
      <c r="Y374" s="106">
        <f ca="1">Table24[[#This Row],[End Date]]+2-TODAY()</f>
        <v>-45775</v>
      </c>
      <c r="Z374" s="15">
        <f>IF(ISBLANK(Table24[[#This Row],[Roster Received By]]),1,0)</f>
        <v>1</v>
      </c>
      <c r="AA374" s="97">
        <f ca="1">IF(Table24[[#This Row],[Start Date]]&gt;TODAY(),1,)</f>
        <v>0</v>
      </c>
    </row>
    <row r="375" spans="1:27" s="61" customFormat="1" x14ac:dyDescent="0.25">
      <c r="B375" s="113"/>
      <c r="C375" s="97" t="e">
        <v>#N/A</v>
      </c>
      <c r="D375" s="97" t="e">
        <v>#N/A</v>
      </c>
      <c r="E375" s="65"/>
      <c r="F375" s="107"/>
      <c r="G375" s="107"/>
      <c r="H375" s="102"/>
      <c r="I375" s="102"/>
      <c r="J375" s="99"/>
      <c r="K375" s="99"/>
      <c r="L375" s="99"/>
      <c r="M375" s="99"/>
      <c r="N375" s="99"/>
      <c r="O375" s="96"/>
      <c r="P375" s="96"/>
      <c r="Q375" s="15" t="e">
        <v>#N/A</v>
      </c>
      <c r="R375" s="15" t="e">
        <v>#N/A</v>
      </c>
      <c r="S375" s="15"/>
      <c r="T375" s="100"/>
      <c r="U375" s="15"/>
      <c r="V375" s="15"/>
      <c r="W375" s="97"/>
      <c r="X375" s="96"/>
      <c r="Y375" s="106">
        <f ca="1">Table24[[#This Row],[End Date]]+2-TODAY()</f>
        <v>-45775</v>
      </c>
      <c r="Z375" s="15">
        <f>IF(ISBLANK(Table24[[#This Row],[Roster Received By]]),1,0)</f>
        <v>1</v>
      </c>
      <c r="AA375" s="97">
        <f ca="1">IF(Table24[[#This Row],[Start Date]]&gt;TODAY(),1,)</f>
        <v>0</v>
      </c>
    </row>
    <row r="376" spans="1:27" s="61" customFormat="1" x14ac:dyDescent="0.25">
      <c r="B376" s="113"/>
      <c r="C376" s="97" t="e">
        <v>#N/A</v>
      </c>
      <c r="D376" s="97" t="e">
        <v>#N/A</v>
      </c>
      <c r="E376" s="113"/>
      <c r="F376" s="107"/>
      <c r="G376" s="107"/>
      <c r="H376" s="102"/>
      <c r="I376" s="102"/>
      <c r="J376" s="99"/>
      <c r="K376" s="99"/>
      <c r="L376" s="99"/>
      <c r="M376" s="99"/>
      <c r="N376" s="99"/>
      <c r="O376" s="96"/>
      <c r="P376" s="96"/>
      <c r="Q376" s="15" t="e">
        <v>#N/A</v>
      </c>
      <c r="R376" s="15" t="e">
        <v>#N/A</v>
      </c>
      <c r="S376" s="15"/>
      <c r="T376" s="100"/>
      <c r="U376" s="15"/>
      <c r="V376" s="15"/>
      <c r="W376" s="97"/>
      <c r="X376" s="96"/>
      <c r="Y376" s="106">
        <f ca="1">Table24[[#This Row],[End Date]]+2-TODAY()</f>
        <v>-45775</v>
      </c>
      <c r="Z376" s="15">
        <f>IF(ISBLANK(Table24[[#This Row],[Roster Received By]]),1,0)</f>
        <v>1</v>
      </c>
      <c r="AA376" s="97">
        <f ca="1">IF(Table24[[#This Row],[Start Date]]&gt;TODAY(),1,)</f>
        <v>0</v>
      </c>
    </row>
    <row r="377" spans="1:27" s="61" customFormat="1" x14ac:dyDescent="0.25">
      <c r="B377" s="113"/>
      <c r="C377" s="97" t="e">
        <v>#N/A</v>
      </c>
      <c r="D377" s="97" t="e">
        <v>#N/A</v>
      </c>
      <c r="E377" s="113"/>
      <c r="F377" s="107"/>
      <c r="G377" s="107"/>
      <c r="H377" s="99"/>
      <c r="I377" s="98"/>
      <c r="J377" s="98"/>
      <c r="K377" s="98"/>
      <c r="L377" s="98"/>
      <c r="M377" s="98"/>
      <c r="N377" s="98"/>
      <c r="O377" s="96"/>
      <c r="P377" s="96"/>
      <c r="Q377" s="15" t="e">
        <v>#N/A</v>
      </c>
      <c r="R377" s="15" t="e">
        <v>#N/A</v>
      </c>
      <c r="S377" s="15"/>
      <c r="T377" s="100"/>
      <c r="U377" s="15"/>
      <c r="V377" s="15"/>
      <c r="W377" s="97"/>
      <c r="X377" s="96"/>
      <c r="Y377" s="106">
        <f ca="1">Table24[[#This Row],[End Date]]+2-TODAY()</f>
        <v>-45775</v>
      </c>
      <c r="Z377" s="15">
        <f>IF(ISBLANK(Table24[[#This Row],[Roster Received By]]),1,0)</f>
        <v>1</v>
      </c>
      <c r="AA377" s="97">
        <f ca="1">IF(Table24[[#This Row],[Start Date]]&gt;TODAY(),1,)</f>
        <v>0</v>
      </c>
    </row>
    <row r="378" spans="1:27" s="61" customFormat="1" x14ac:dyDescent="0.25">
      <c r="B378" s="113"/>
      <c r="C378" s="97" t="e">
        <v>#N/A</v>
      </c>
      <c r="D378" s="97" t="e">
        <v>#N/A</v>
      </c>
      <c r="E378" s="113"/>
      <c r="F378" s="107"/>
      <c r="G378" s="107"/>
      <c r="H378" s="99"/>
      <c r="I378" s="98"/>
      <c r="J378" s="98"/>
      <c r="K378" s="98"/>
      <c r="L378" s="98"/>
      <c r="M378" s="98"/>
      <c r="N378" s="98"/>
      <c r="O378" s="96"/>
      <c r="P378" s="96"/>
      <c r="Q378" s="15" t="e">
        <v>#N/A</v>
      </c>
      <c r="R378" s="15" t="e">
        <v>#N/A</v>
      </c>
      <c r="S378" s="15"/>
      <c r="T378" s="100"/>
      <c r="U378" s="15"/>
      <c r="V378" s="15"/>
      <c r="W378" s="97"/>
      <c r="X378" s="96"/>
      <c r="Y378" s="106">
        <f ca="1">Table24[[#This Row],[End Date]]+2-TODAY()</f>
        <v>-45775</v>
      </c>
      <c r="Z378" s="15">
        <f>IF(ISBLANK(Table24[[#This Row],[Roster Received By]]),1,0)</f>
        <v>1</v>
      </c>
      <c r="AA378" s="97">
        <f ca="1">IF(Table24[[#This Row],[Start Date]]&gt;TODAY(),1,)</f>
        <v>0</v>
      </c>
    </row>
    <row r="379" spans="1:27" s="61" customFormat="1" x14ac:dyDescent="0.25">
      <c r="B379" s="123"/>
      <c r="C379" s="97" t="e">
        <v>#N/A</v>
      </c>
      <c r="D379" s="97" t="e">
        <v>#N/A</v>
      </c>
      <c r="E379" s="113"/>
      <c r="F379" s="107"/>
      <c r="G379" s="107"/>
      <c r="H379" s="99"/>
      <c r="I379" s="98"/>
      <c r="J379" s="98"/>
      <c r="K379" s="98"/>
      <c r="L379" s="98"/>
      <c r="M379" s="98"/>
      <c r="N379" s="98"/>
      <c r="O379" s="96"/>
      <c r="P379" s="96"/>
      <c r="Q379" s="15" t="e">
        <v>#N/A</v>
      </c>
      <c r="R379" s="15" t="e">
        <v>#N/A</v>
      </c>
      <c r="S379" s="15"/>
      <c r="T379" s="100"/>
      <c r="U379" s="15"/>
      <c r="V379" s="15"/>
      <c r="W379" s="97"/>
      <c r="X379" s="96"/>
      <c r="Y379" s="106">
        <f ca="1">Table24[[#This Row],[End Date]]+2-TODAY()</f>
        <v>-45775</v>
      </c>
      <c r="Z379" s="15">
        <f>IF(ISBLANK(Table24[[#This Row],[Roster Received By]]),1,0)</f>
        <v>1</v>
      </c>
      <c r="AA379" s="97">
        <f ca="1">IF(Table24[[#This Row],[Start Date]]&gt;TODAY(),1,)</f>
        <v>0</v>
      </c>
    </row>
    <row r="380" spans="1:27" s="61" customFormat="1" x14ac:dyDescent="0.25">
      <c r="B380" s="113"/>
      <c r="C380" s="97" t="e">
        <v>#N/A</v>
      </c>
      <c r="D380" s="97" t="e">
        <v>#N/A</v>
      </c>
      <c r="E380" s="96"/>
      <c r="F380" s="99"/>
      <c r="G380" s="99"/>
      <c r="H380" s="102"/>
      <c r="I380" s="102"/>
      <c r="J380" s="99"/>
      <c r="K380" s="99"/>
      <c r="L380" s="99"/>
      <c r="M380" s="99"/>
      <c r="N380" s="99"/>
      <c r="O380" s="96"/>
      <c r="P380" s="96"/>
      <c r="Q380" s="15" t="e">
        <v>#N/A</v>
      </c>
      <c r="R380" s="15" t="e">
        <v>#N/A</v>
      </c>
      <c r="S380" s="100"/>
      <c r="T380" s="100"/>
      <c r="U380" s="15"/>
      <c r="V380" s="15"/>
      <c r="W380" s="97"/>
      <c r="X380" s="96"/>
      <c r="Y380" s="106">
        <f ca="1">Table24[[#This Row],[End Date]]+2-TODAY()</f>
        <v>-45775</v>
      </c>
      <c r="Z380" s="15">
        <f>IF(ISBLANK(Table24[[#This Row],[Roster Received By]]),1,0)</f>
        <v>1</v>
      </c>
      <c r="AA380" s="97">
        <f ca="1">IF(Table24[[#This Row],[Start Date]]&gt;TODAY(),1,)</f>
        <v>0</v>
      </c>
    </row>
    <row r="381" spans="1:27" s="61" customFormat="1" x14ac:dyDescent="0.25">
      <c r="B381" s="65"/>
      <c r="C381" s="97" t="e">
        <v>#N/A</v>
      </c>
      <c r="D381" s="97" t="e">
        <v>#N/A</v>
      </c>
      <c r="E381" s="67"/>
      <c r="F381" s="66"/>
      <c r="G381" s="66"/>
      <c r="H381" s="98"/>
      <c r="I381" s="98"/>
      <c r="J381" s="99"/>
      <c r="K381" s="99"/>
      <c r="L381" s="99"/>
      <c r="M381" s="99"/>
      <c r="N381" s="99"/>
      <c r="O381" s="96"/>
      <c r="P381" s="96"/>
      <c r="Q381" s="15" t="e">
        <v>#N/A</v>
      </c>
      <c r="R381" s="15" t="e">
        <v>#N/A</v>
      </c>
      <c r="S381" s="15"/>
      <c r="T381" s="100"/>
      <c r="U381" s="15"/>
      <c r="V381" s="15"/>
      <c r="W381" s="97"/>
      <c r="X381" s="96"/>
      <c r="Y381" s="106">
        <f ca="1">Table24[[#This Row],[End Date]]+2-TODAY()</f>
        <v>-45775</v>
      </c>
      <c r="Z381" s="15">
        <f>IF(ISBLANK(Table24[[#This Row],[Roster Received By]]),1,0)</f>
        <v>1</v>
      </c>
      <c r="AA381" s="97">
        <f ca="1">IF(Table24[[#This Row],[Start Date]]&gt;TODAY(),1,)</f>
        <v>0</v>
      </c>
    </row>
    <row r="382" spans="1:27" s="61" customFormat="1" x14ac:dyDescent="0.25">
      <c r="A382" s="96"/>
      <c r="B382" s="113"/>
      <c r="C382" s="97" t="e">
        <v>#N/A</v>
      </c>
      <c r="D382" s="97" t="e">
        <v>#N/A</v>
      </c>
      <c r="E382" s="119"/>
      <c r="F382" s="99"/>
      <c r="G382" s="99"/>
      <c r="H382" s="99"/>
      <c r="I382" s="98"/>
      <c r="J382" s="98"/>
      <c r="K382" s="98"/>
      <c r="L382" s="98"/>
      <c r="M382" s="98"/>
      <c r="N382" s="98"/>
      <c r="O382" s="96"/>
      <c r="P382" s="96"/>
      <c r="Q382" s="15" t="e">
        <v>#N/A</v>
      </c>
      <c r="R382" s="15" t="e">
        <v>#N/A</v>
      </c>
      <c r="S382" s="15"/>
      <c r="T382" s="100"/>
      <c r="U382" s="15"/>
      <c r="V382" s="15"/>
      <c r="W382" s="97"/>
      <c r="X382" s="96"/>
      <c r="Y382" s="106">
        <f ca="1">Table24[[#This Row],[End Date]]+2-TODAY()</f>
        <v>-45775</v>
      </c>
      <c r="Z382" s="15">
        <f>IF(ISBLANK(Table24[[#This Row],[Roster Received By]]),1,0)</f>
        <v>1</v>
      </c>
      <c r="AA382" s="97">
        <f ca="1">IF(Table24[[#This Row],[Start Date]]&gt;TODAY(),1,)</f>
        <v>0</v>
      </c>
    </row>
    <row r="383" spans="1:27" s="61" customFormat="1" x14ac:dyDescent="0.25">
      <c r="B383" s="113"/>
      <c r="C383" s="97" t="e">
        <v>#N/A</v>
      </c>
      <c r="D383" s="97" t="e">
        <v>#N/A</v>
      </c>
      <c r="E383" s="67"/>
      <c r="F383" s="66"/>
      <c r="G383" s="66"/>
      <c r="H383" s="66"/>
      <c r="I383" s="98"/>
      <c r="J383" s="98"/>
      <c r="K383" s="98"/>
      <c r="L383" s="98"/>
      <c r="M383" s="98"/>
      <c r="N383" s="98"/>
      <c r="O383" s="96"/>
      <c r="P383" s="96"/>
      <c r="Q383" s="15" t="e">
        <v>#N/A</v>
      </c>
      <c r="R383" s="15" t="e">
        <v>#N/A</v>
      </c>
      <c r="S383" s="15"/>
      <c r="T383" s="100"/>
      <c r="U383" s="15"/>
      <c r="V383" s="15"/>
      <c r="W383" s="97"/>
      <c r="X383" s="96"/>
      <c r="Y383" s="106">
        <f ca="1">Table24[[#This Row],[End Date]]+2-TODAY()</f>
        <v>-45775</v>
      </c>
      <c r="Z383" s="15">
        <f>IF(ISBLANK(Table24[[#This Row],[Roster Received By]]),1,0)</f>
        <v>1</v>
      </c>
      <c r="AA383" s="97">
        <f ca="1">IF(Table24[[#This Row],[Start Date]]&gt;TODAY(),1,)</f>
        <v>0</v>
      </c>
    </row>
    <row r="384" spans="1:27" s="61" customFormat="1" x14ac:dyDescent="0.25">
      <c r="B384" s="113"/>
      <c r="C384" s="97" t="e">
        <v>#N/A</v>
      </c>
      <c r="D384" s="97" t="e">
        <v>#N/A</v>
      </c>
      <c r="E384" s="67"/>
      <c r="F384" s="66"/>
      <c r="G384" s="66"/>
      <c r="H384" s="66"/>
      <c r="I384" s="98"/>
      <c r="J384" s="98"/>
      <c r="K384" s="98"/>
      <c r="L384" s="98"/>
      <c r="M384" s="98"/>
      <c r="N384" s="98"/>
      <c r="O384" s="96"/>
      <c r="P384" s="96"/>
      <c r="Q384" s="15" t="e">
        <v>#N/A</v>
      </c>
      <c r="R384" s="15" t="e">
        <v>#N/A</v>
      </c>
      <c r="S384" s="15"/>
      <c r="T384" s="100"/>
      <c r="U384" s="15"/>
      <c r="V384" s="15"/>
      <c r="W384" s="97"/>
      <c r="X384" s="96"/>
      <c r="Y384" s="106">
        <f ca="1">Table24[[#This Row],[End Date]]+2-TODAY()</f>
        <v>-45775</v>
      </c>
      <c r="Z384" s="15">
        <f>IF(ISBLANK(Table24[[#This Row],[Roster Received By]]),1,0)</f>
        <v>1</v>
      </c>
      <c r="AA384" s="97">
        <f ca="1">IF(Table24[[#This Row],[Start Date]]&gt;TODAY(),1,)</f>
        <v>0</v>
      </c>
    </row>
    <row r="385" spans="1:27" s="61" customFormat="1" x14ac:dyDescent="0.25">
      <c r="B385" s="113"/>
      <c r="C385" s="97" t="e">
        <v>#N/A</v>
      </c>
      <c r="D385" s="97" t="e">
        <v>#N/A</v>
      </c>
      <c r="E385" s="67"/>
      <c r="F385" s="66"/>
      <c r="G385" s="66"/>
      <c r="H385" s="98"/>
      <c r="I385" s="98"/>
      <c r="J385" s="99"/>
      <c r="K385" s="99"/>
      <c r="L385" s="99"/>
      <c r="M385" s="99"/>
      <c r="N385" s="99"/>
      <c r="O385" s="96"/>
      <c r="P385" s="96"/>
      <c r="Q385" s="15" t="e">
        <v>#N/A</v>
      </c>
      <c r="R385" s="15" t="e">
        <v>#N/A</v>
      </c>
      <c r="S385" s="15"/>
      <c r="T385" s="100"/>
      <c r="U385" s="15"/>
      <c r="V385" s="15"/>
      <c r="W385" s="97"/>
      <c r="X385" s="96"/>
      <c r="Y385" s="106">
        <f ca="1">Table24[[#This Row],[End Date]]+2-TODAY()</f>
        <v>-45775</v>
      </c>
      <c r="Z385" s="15">
        <f>IF(ISBLANK(Table24[[#This Row],[Roster Received By]]),1,0)</f>
        <v>1</v>
      </c>
      <c r="AA385" s="97">
        <f ca="1">IF(Table24[[#This Row],[Start Date]]&gt;TODAY(),1,)</f>
        <v>0</v>
      </c>
    </row>
    <row r="386" spans="1:27" s="61" customFormat="1" x14ac:dyDescent="0.25">
      <c r="B386" s="113"/>
      <c r="C386" s="97" t="e">
        <v>#N/A</v>
      </c>
      <c r="D386" s="97" t="e">
        <v>#N/A</v>
      </c>
      <c r="E386" s="96"/>
      <c r="F386" s="66"/>
      <c r="G386" s="99"/>
      <c r="H386" s="99"/>
      <c r="I386" s="98"/>
      <c r="J386" s="98"/>
      <c r="K386" s="98"/>
      <c r="L386" s="98"/>
      <c r="M386" s="98"/>
      <c r="N386" s="98"/>
      <c r="O386" s="96"/>
      <c r="P386" s="96"/>
      <c r="Q386" s="15" t="e">
        <v>#N/A</v>
      </c>
      <c r="R386" s="15" t="e">
        <v>#N/A</v>
      </c>
      <c r="S386" s="15"/>
      <c r="T386" s="100"/>
      <c r="U386" s="15"/>
      <c r="V386" s="15"/>
      <c r="W386" s="97"/>
      <c r="X386" s="96"/>
      <c r="Y386" s="106">
        <f ca="1">Table24[[#This Row],[End Date]]+2-TODAY()</f>
        <v>-45775</v>
      </c>
      <c r="Z386" s="15">
        <f>IF(ISBLANK(Table24[[#This Row],[Roster Received By]]),1,0)</f>
        <v>1</v>
      </c>
      <c r="AA386" s="97">
        <f ca="1">IF(Table24[[#This Row],[Start Date]]&gt;TODAY(),1,)</f>
        <v>0</v>
      </c>
    </row>
    <row r="387" spans="1:27" s="61" customFormat="1" x14ac:dyDescent="0.25">
      <c r="B387" s="113"/>
      <c r="C387" s="97" t="e">
        <v>#N/A</v>
      </c>
      <c r="D387" s="97" t="e">
        <v>#N/A</v>
      </c>
      <c r="E387" s="113"/>
      <c r="F387" s="99"/>
      <c r="G387" s="99"/>
      <c r="H387" s="99"/>
      <c r="I387" s="98"/>
      <c r="J387" s="98"/>
      <c r="K387" s="98"/>
      <c r="L387" s="98"/>
      <c r="M387" s="98"/>
      <c r="N387" s="98"/>
      <c r="O387" s="96"/>
      <c r="P387" s="96"/>
      <c r="Q387" s="15" t="e">
        <v>#N/A</v>
      </c>
      <c r="R387" s="15" t="e">
        <v>#N/A</v>
      </c>
      <c r="S387" s="15"/>
      <c r="T387" s="100"/>
      <c r="U387" s="15"/>
      <c r="V387" s="15"/>
      <c r="W387" s="97"/>
      <c r="X387" s="96"/>
      <c r="Y387" s="106">
        <f ca="1">Table24[[#This Row],[End Date]]+2-TODAY()</f>
        <v>-45775</v>
      </c>
      <c r="Z387" s="15">
        <f>IF(ISBLANK(Table24[[#This Row],[Roster Received By]]),1,0)</f>
        <v>1</v>
      </c>
      <c r="AA387" s="97">
        <f ca="1">IF(Table24[[#This Row],[Start Date]]&gt;TODAY(),1,)</f>
        <v>0</v>
      </c>
    </row>
    <row r="388" spans="1:27" s="61" customFormat="1" x14ac:dyDescent="0.25">
      <c r="B388" s="65"/>
      <c r="C388" s="97" t="e">
        <v>#N/A</v>
      </c>
      <c r="D388" s="97" t="e">
        <v>#N/A</v>
      </c>
      <c r="E388" s="67"/>
      <c r="F388" s="66"/>
      <c r="G388" s="66"/>
      <c r="H388" s="98"/>
      <c r="I388" s="98"/>
      <c r="J388" s="99"/>
      <c r="K388" s="99"/>
      <c r="L388" s="99"/>
      <c r="M388" s="99"/>
      <c r="N388" s="99"/>
      <c r="O388" s="96"/>
      <c r="P388" s="96"/>
      <c r="Q388" s="15" t="e">
        <v>#N/A</v>
      </c>
      <c r="R388" s="15" t="e">
        <v>#N/A</v>
      </c>
      <c r="S388" s="15"/>
      <c r="T388" s="100"/>
      <c r="U388" s="15"/>
      <c r="V388" s="15"/>
      <c r="W388" s="97"/>
      <c r="X388" s="96"/>
      <c r="Y388" s="106">
        <f ca="1">Table24[[#This Row],[End Date]]+2-TODAY()</f>
        <v>-45775</v>
      </c>
      <c r="Z388" s="15">
        <f>IF(ISBLANK(Table24[[#This Row],[Roster Received By]]),1,0)</f>
        <v>1</v>
      </c>
      <c r="AA388" s="97">
        <f ca="1">IF(Table24[[#This Row],[Start Date]]&gt;TODAY(),1,)</f>
        <v>0</v>
      </c>
    </row>
    <row r="389" spans="1:27" s="61" customFormat="1" x14ac:dyDescent="0.25">
      <c r="B389" s="113"/>
      <c r="C389" s="97" t="e">
        <v>#N/A</v>
      </c>
      <c r="D389" s="97" t="e">
        <v>#N/A</v>
      </c>
      <c r="E389" s="67"/>
      <c r="F389" s="99"/>
      <c r="G389" s="99"/>
      <c r="H389" s="102"/>
      <c r="I389" s="102"/>
      <c r="J389" s="99"/>
      <c r="K389" s="99"/>
      <c r="L389" s="99"/>
      <c r="M389" s="99"/>
      <c r="N389" s="99"/>
      <c r="O389" s="96"/>
      <c r="P389" s="96"/>
      <c r="Q389" s="15" t="e">
        <v>#N/A</v>
      </c>
      <c r="R389" s="15" t="e">
        <v>#N/A</v>
      </c>
      <c r="S389" s="15"/>
      <c r="T389" s="100"/>
      <c r="U389" s="15"/>
      <c r="V389" s="15"/>
      <c r="W389" s="97"/>
      <c r="X389" s="96"/>
      <c r="Y389" s="106">
        <f ca="1">Table24[[#This Row],[End Date]]+2-TODAY()</f>
        <v>-45775</v>
      </c>
      <c r="Z389" s="15">
        <f>IF(ISBLANK(Table24[[#This Row],[Roster Received By]]),1,0)</f>
        <v>1</v>
      </c>
      <c r="AA389" s="97">
        <f ca="1">IF(Table24[[#This Row],[Start Date]]&gt;TODAY(),1,)</f>
        <v>0</v>
      </c>
    </row>
    <row r="390" spans="1:27" s="61" customFormat="1" x14ac:dyDescent="0.25">
      <c r="A390" s="96"/>
      <c r="B390" s="96"/>
      <c r="C390" s="97" t="e">
        <v>#N/A</v>
      </c>
      <c r="D390" s="97" t="e">
        <v>#N/A</v>
      </c>
      <c r="E390" s="119"/>
      <c r="F390" s="99"/>
      <c r="G390" s="99"/>
      <c r="H390" s="99"/>
      <c r="I390" s="98"/>
      <c r="J390" s="98"/>
      <c r="K390" s="98"/>
      <c r="L390" s="98"/>
      <c r="M390" s="98"/>
      <c r="N390" s="98"/>
      <c r="O390" s="96"/>
      <c r="P390" s="96"/>
      <c r="Q390" s="15" t="e">
        <v>#N/A</v>
      </c>
      <c r="R390" s="15" t="e">
        <v>#N/A</v>
      </c>
      <c r="S390" s="15"/>
      <c r="T390" s="100"/>
      <c r="U390" s="15"/>
      <c r="V390" s="15"/>
      <c r="W390" s="97"/>
      <c r="X390" s="96"/>
      <c r="Y390" s="106">
        <f ca="1">Table24[[#This Row],[End Date]]+2-TODAY()</f>
        <v>-45775</v>
      </c>
      <c r="Z390" s="15">
        <f>IF(ISBLANK(Table24[[#This Row],[Roster Received By]]),1,0)</f>
        <v>1</v>
      </c>
      <c r="AA390" s="97">
        <f ca="1">IF(Table24[[#This Row],[Start Date]]&gt;TODAY(),1,)</f>
        <v>0</v>
      </c>
    </row>
    <row r="391" spans="1:27" s="61" customFormat="1" x14ac:dyDescent="0.25">
      <c r="B391" s="96"/>
      <c r="C391" s="97" t="e">
        <v>#N/A</v>
      </c>
      <c r="D391" s="97" t="e">
        <v>#N/A</v>
      </c>
      <c r="E391" s="119"/>
      <c r="F391" s="99"/>
      <c r="G391" s="99"/>
      <c r="H391" s="99"/>
      <c r="I391" s="98"/>
      <c r="J391" s="98"/>
      <c r="K391" s="98"/>
      <c r="L391" s="98"/>
      <c r="M391" s="98"/>
      <c r="N391" s="98"/>
      <c r="O391" s="96"/>
      <c r="P391" s="96"/>
      <c r="Q391" s="15" t="e">
        <v>#N/A</v>
      </c>
      <c r="R391" s="15" t="e">
        <v>#N/A</v>
      </c>
      <c r="S391" s="15"/>
      <c r="T391" s="100"/>
      <c r="U391" s="15"/>
      <c r="V391" s="15"/>
      <c r="W391" s="97"/>
      <c r="X391" s="96"/>
      <c r="Y391" s="106">
        <f ca="1">Table24[[#This Row],[End Date]]+2-TODAY()</f>
        <v>-45775</v>
      </c>
      <c r="Z391" s="15">
        <f>IF(ISBLANK(Table24[[#This Row],[Roster Received By]]),1,0)</f>
        <v>1</v>
      </c>
      <c r="AA391" s="97">
        <f ca="1">IF(Table24[[#This Row],[Start Date]]&gt;TODAY(),1,)</f>
        <v>0</v>
      </c>
    </row>
    <row r="392" spans="1:27" s="61" customFormat="1" x14ac:dyDescent="0.25">
      <c r="B392" s="113"/>
      <c r="C392" s="97" t="e">
        <v>#N/A</v>
      </c>
      <c r="D392" s="97" t="e">
        <v>#N/A</v>
      </c>
      <c r="E392" s="119"/>
      <c r="F392" s="99"/>
      <c r="G392" s="99"/>
      <c r="H392" s="99"/>
      <c r="I392" s="98"/>
      <c r="J392" s="98"/>
      <c r="K392" s="98"/>
      <c r="L392" s="98"/>
      <c r="M392" s="98"/>
      <c r="N392" s="98"/>
      <c r="O392" s="96"/>
      <c r="P392" s="96"/>
      <c r="Q392" s="15" t="e">
        <v>#N/A</v>
      </c>
      <c r="R392" s="15" t="e">
        <v>#N/A</v>
      </c>
      <c r="S392" s="15"/>
      <c r="T392" s="100"/>
      <c r="U392" s="15"/>
      <c r="V392" s="15"/>
      <c r="W392" s="97"/>
      <c r="X392" s="96"/>
      <c r="Y392" s="106">
        <f ca="1">Table24[[#This Row],[End Date]]+2-TODAY()</f>
        <v>-45775</v>
      </c>
      <c r="Z392" s="15">
        <f>IF(ISBLANK(Table24[[#This Row],[Roster Received By]]),1,0)</f>
        <v>1</v>
      </c>
      <c r="AA392" s="97">
        <f ca="1">IF(Table24[[#This Row],[Start Date]]&gt;TODAY(),1,)</f>
        <v>0</v>
      </c>
    </row>
    <row r="393" spans="1:27" s="61" customFormat="1" x14ac:dyDescent="0.25">
      <c r="B393" s="113"/>
      <c r="C393" s="97" t="e">
        <v>#N/A</v>
      </c>
      <c r="D393" s="97" t="e">
        <v>#N/A</v>
      </c>
      <c r="E393" s="67"/>
      <c r="F393" s="99"/>
      <c r="G393" s="99"/>
      <c r="H393" s="105"/>
      <c r="I393" s="105"/>
      <c r="J393" s="99"/>
      <c r="K393" s="99"/>
      <c r="L393" s="99"/>
      <c r="M393" s="99"/>
      <c r="N393" s="99"/>
      <c r="O393" s="96"/>
      <c r="P393" s="96"/>
      <c r="Q393" s="15" t="e">
        <v>#N/A</v>
      </c>
      <c r="R393" s="15" t="e">
        <v>#N/A</v>
      </c>
      <c r="S393" s="15"/>
      <c r="T393" s="100"/>
      <c r="U393" s="15"/>
      <c r="V393" s="15"/>
      <c r="W393" s="97"/>
      <c r="X393" s="96"/>
      <c r="Y393" s="106">
        <f ca="1">Table24[[#This Row],[End Date]]+2-TODAY()</f>
        <v>-45775</v>
      </c>
      <c r="Z393" s="15">
        <f>IF(ISBLANK(Table24[[#This Row],[Roster Received By]]),1,0)</f>
        <v>1</v>
      </c>
      <c r="AA393" s="97">
        <f ca="1">IF(Table24[[#This Row],[Start Date]]&gt;TODAY(),1,)</f>
        <v>0</v>
      </c>
    </row>
    <row r="394" spans="1:27" s="61" customFormat="1" x14ac:dyDescent="0.25">
      <c r="B394" s="96"/>
      <c r="C394" s="97" t="e">
        <v>#N/A</v>
      </c>
      <c r="D394" s="97" t="e">
        <v>#N/A</v>
      </c>
      <c r="E394" s="96"/>
      <c r="F394" s="99"/>
      <c r="G394" s="99"/>
      <c r="H394" s="99"/>
      <c r="I394" s="98"/>
      <c r="J394" s="98"/>
      <c r="K394" s="98"/>
      <c r="L394" s="98"/>
      <c r="M394" s="98"/>
      <c r="N394" s="98"/>
      <c r="O394" s="96"/>
      <c r="P394" s="96"/>
      <c r="Q394" s="15" t="e">
        <v>#N/A</v>
      </c>
      <c r="R394" s="15" t="e">
        <v>#N/A</v>
      </c>
      <c r="S394" s="15"/>
      <c r="T394" s="100"/>
      <c r="U394" s="15"/>
      <c r="V394" s="15"/>
      <c r="W394" s="97"/>
      <c r="X394" s="96"/>
      <c r="Y394" s="106">
        <f ca="1">Table24[[#This Row],[End Date]]+2-TODAY()</f>
        <v>-45775</v>
      </c>
      <c r="Z394" s="15">
        <f>IF(ISBLANK(Table24[[#This Row],[Roster Received By]]),1,0)</f>
        <v>1</v>
      </c>
      <c r="AA394" s="97">
        <f ca="1">IF(Table24[[#This Row],[Start Date]]&gt;TODAY(),1,)</f>
        <v>0</v>
      </c>
    </row>
    <row r="395" spans="1:27" s="61" customFormat="1" x14ac:dyDescent="0.25">
      <c r="A395" s="96"/>
      <c r="B395" s="96"/>
      <c r="C395" s="97" t="e">
        <v>#N/A</v>
      </c>
      <c r="D395" s="97" t="e">
        <v>#N/A</v>
      </c>
      <c r="E395" s="119"/>
      <c r="F395" s="99"/>
      <c r="G395" s="99"/>
      <c r="H395" s="99"/>
      <c r="I395" s="98"/>
      <c r="J395" s="98"/>
      <c r="K395" s="98"/>
      <c r="L395" s="98"/>
      <c r="M395" s="98"/>
      <c r="N395" s="98"/>
      <c r="O395" s="96"/>
      <c r="P395" s="96"/>
      <c r="Q395" s="15" t="e">
        <v>#N/A</v>
      </c>
      <c r="R395" s="15" t="e">
        <v>#N/A</v>
      </c>
      <c r="S395" s="15"/>
      <c r="T395" s="100"/>
      <c r="U395" s="15"/>
      <c r="V395" s="15"/>
      <c r="W395" s="97"/>
      <c r="X395" s="96"/>
      <c r="Y395" s="106">
        <f ca="1">Table24[[#This Row],[End Date]]+2-TODAY()</f>
        <v>-45775</v>
      </c>
      <c r="Z395" s="15">
        <f>IF(ISBLANK(Table24[[#This Row],[Roster Received By]]),1,0)</f>
        <v>1</v>
      </c>
      <c r="AA395" s="97">
        <f ca="1">IF(Table24[[#This Row],[Start Date]]&gt;TODAY(),1,)</f>
        <v>0</v>
      </c>
    </row>
    <row r="396" spans="1:27" s="61" customFormat="1" x14ac:dyDescent="0.25">
      <c r="B396" s="96"/>
      <c r="C396" s="97" t="e">
        <v>#N/A</v>
      </c>
      <c r="D396" s="97" t="e">
        <v>#N/A</v>
      </c>
      <c r="E396" s="119"/>
      <c r="F396" s="99"/>
      <c r="G396" s="99"/>
      <c r="H396" s="102"/>
      <c r="I396" s="102"/>
      <c r="J396" s="99"/>
      <c r="K396" s="99"/>
      <c r="L396" s="122"/>
      <c r="M396" s="99"/>
      <c r="N396" s="99"/>
      <c r="O396" s="96"/>
      <c r="P396" s="96"/>
      <c r="Q396" s="15" t="e">
        <v>#N/A</v>
      </c>
      <c r="R396" s="15" t="e">
        <v>#N/A</v>
      </c>
      <c r="S396" s="100"/>
      <c r="T396" s="100"/>
      <c r="U396" s="15"/>
      <c r="V396" s="15"/>
      <c r="W396" s="97"/>
      <c r="X396" s="96"/>
      <c r="Y396" s="106">
        <f ca="1">Table24[[#This Row],[End Date]]+2-TODAY()</f>
        <v>-45775</v>
      </c>
      <c r="Z396" s="15">
        <f>IF(ISBLANK(Table24[[#This Row],[Roster Received By]]),1,0)</f>
        <v>1</v>
      </c>
      <c r="AA396" s="97">
        <f ca="1">IF(Table24[[#This Row],[Start Date]]&gt;TODAY(),1,)</f>
        <v>0</v>
      </c>
    </row>
    <row r="397" spans="1:27" s="61" customFormat="1" x14ac:dyDescent="0.25">
      <c r="B397" s="96"/>
      <c r="C397" s="97" t="e">
        <v>#N/A</v>
      </c>
      <c r="D397" s="97" t="e">
        <v>#N/A</v>
      </c>
      <c r="E397" s="119"/>
      <c r="F397" s="99"/>
      <c r="G397" s="99"/>
      <c r="H397" s="102"/>
      <c r="I397" s="102"/>
      <c r="J397" s="99"/>
      <c r="K397" s="99"/>
      <c r="L397" s="99"/>
      <c r="M397" s="99"/>
      <c r="N397" s="99"/>
      <c r="O397" s="96"/>
      <c r="P397" s="96"/>
      <c r="Q397" s="15" t="e">
        <v>#N/A</v>
      </c>
      <c r="R397" s="15" t="e">
        <v>#N/A</v>
      </c>
      <c r="S397" s="15"/>
      <c r="T397" s="100"/>
      <c r="U397" s="15"/>
      <c r="V397" s="15"/>
      <c r="W397" s="15"/>
      <c r="X397" s="96"/>
      <c r="Y397" s="69">
        <f ca="1">Table24[[#This Row],[End Date]]+2-TODAY()</f>
        <v>-45775</v>
      </c>
      <c r="Z397" s="15">
        <f>IF(ISBLANK(Table24[[#This Row],[Roster Received By]]),1,0)</f>
        <v>1</v>
      </c>
      <c r="AA397" s="15">
        <f ca="1">IF(Table24[[#This Row],[Start Date]]&gt;TODAY(),1,)</f>
        <v>0</v>
      </c>
    </row>
    <row r="398" spans="1:27" s="61" customFormat="1" x14ac:dyDescent="0.25">
      <c r="B398" s="96"/>
      <c r="C398" s="97" t="e">
        <v>#N/A</v>
      </c>
      <c r="D398" s="97" t="e">
        <v>#N/A</v>
      </c>
      <c r="E398" s="65"/>
      <c r="F398" s="66"/>
      <c r="G398" s="66"/>
      <c r="H398" s="98"/>
      <c r="I398" s="98"/>
      <c r="J398" s="99"/>
      <c r="K398" s="99"/>
      <c r="L398" s="99"/>
      <c r="M398" s="99"/>
      <c r="N398" s="99"/>
      <c r="O398" s="96"/>
      <c r="P398" s="96"/>
      <c r="Q398" s="15" t="e">
        <v>#N/A</v>
      </c>
      <c r="R398" s="15" t="e">
        <v>#N/A</v>
      </c>
      <c r="S398" s="15"/>
      <c r="T398" s="100"/>
      <c r="U398" s="15"/>
      <c r="V398" s="15"/>
      <c r="W398" s="15"/>
      <c r="X398" s="96"/>
      <c r="Y398" s="69">
        <f ca="1">Table24[[#This Row],[End Date]]+2-TODAY()</f>
        <v>-45775</v>
      </c>
      <c r="Z398" s="15">
        <f>IF(ISBLANK(Table24[[#This Row],[Roster Received By]]),1,0)</f>
        <v>1</v>
      </c>
      <c r="AA398" s="15">
        <f ca="1">IF(Table24[[#This Row],[Start Date]]&gt;TODAY(),1,)</f>
        <v>0</v>
      </c>
    </row>
    <row r="399" spans="1:27" s="61" customFormat="1" x14ac:dyDescent="0.25">
      <c r="B399" s="96"/>
      <c r="C399" s="97" t="e">
        <v>#N/A</v>
      </c>
      <c r="D399" s="97" t="e">
        <v>#N/A</v>
      </c>
      <c r="E399" s="67"/>
      <c r="F399" s="99"/>
      <c r="G399" s="99"/>
      <c r="H399" s="102"/>
      <c r="I399" s="102"/>
      <c r="J399" s="99"/>
      <c r="K399" s="99"/>
      <c r="L399" s="99"/>
      <c r="M399" s="99"/>
      <c r="N399" s="99"/>
      <c r="O399" s="96"/>
      <c r="P399" s="96"/>
      <c r="Q399" s="15" t="e">
        <v>#N/A</v>
      </c>
      <c r="R399" s="15" t="e">
        <v>#N/A</v>
      </c>
      <c r="S399" s="15"/>
      <c r="T399" s="100"/>
      <c r="U399" s="15"/>
      <c r="V399" s="15"/>
      <c r="W399" s="97"/>
      <c r="X399" s="96"/>
      <c r="Y399" s="106">
        <f ca="1">Table24[[#This Row],[End Date]]+2-TODAY()</f>
        <v>-45775</v>
      </c>
      <c r="Z399" s="15">
        <f>IF(ISBLANK(Table24[[#This Row],[Roster Received By]]),1,0)</f>
        <v>1</v>
      </c>
      <c r="AA399" s="97">
        <f ca="1">IF(Table24[[#This Row],[Start Date]]&gt;TODAY(),1,)</f>
        <v>0</v>
      </c>
    </row>
    <row r="400" spans="1:27" s="61" customFormat="1" x14ac:dyDescent="0.25">
      <c r="B400" s="113"/>
      <c r="C400" s="97" t="e">
        <v>#N/A</v>
      </c>
      <c r="D400" s="97" t="e">
        <v>#N/A</v>
      </c>
      <c r="E400" s="67"/>
      <c r="F400" s="99"/>
      <c r="G400" s="99"/>
      <c r="H400" s="102"/>
      <c r="I400" s="102"/>
      <c r="J400" s="99"/>
      <c r="K400" s="99"/>
      <c r="L400" s="99"/>
      <c r="M400" s="99"/>
      <c r="N400" s="99"/>
      <c r="O400" s="96"/>
      <c r="P400" s="96"/>
      <c r="Q400" s="15" t="e">
        <v>#N/A</v>
      </c>
      <c r="R400" s="15" t="e">
        <v>#N/A</v>
      </c>
      <c r="S400" s="15"/>
      <c r="T400" s="100"/>
      <c r="U400" s="15"/>
      <c r="V400" s="15"/>
      <c r="W400" s="97"/>
      <c r="X400" s="96"/>
      <c r="Y400" s="106">
        <f ca="1">Table24[[#This Row],[End Date]]+2-TODAY()</f>
        <v>-45775</v>
      </c>
      <c r="Z400" s="15">
        <f>IF(ISBLANK(Table24[[#This Row],[Roster Received By]]),1,0)</f>
        <v>1</v>
      </c>
      <c r="AA400" s="97">
        <f ca="1">IF(Table24[[#This Row],[Start Date]]&gt;TODAY(),1,)</f>
        <v>0</v>
      </c>
    </row>
    <row r="401" spans="1:27" s="61" customFormat="1" x14ac:dyDescent="0.25">
      <c r="B401" s="96"/>
      <c r="C401" s="97" t="e">
        <v>#N/A</v>
      </c>
      <c r="D401" s="97" t="e">
        <v>#N/A</v>
      </c>
      <c r="E401" s="119"/>
      <c r="F401" s="99"/>
      <c r="G401" s="99"/>
      <c r="H401" s="102"/>
      <c r="I401" s="102"/>
      <c r="J401" s="99"/>
      <c r="K401" s="99"/>
      <c r="L401" s="99"/>
      <c r="M401" s="99"/>
      <c r="N401" s="99"/>
      <c r="O401" s="96"/>
      <c r="P401" s="96"/>
      <c r="Q401" s="15" t="e">
        <v>#N/A</v>
      </c>
      <c r="R401" s="15" t="e">
        <v>#N/A</v>
      </c>
      <c r="S401" s="100"/>
      <c r="T401" s="100"/>
      <c r="U401" s="15"/>
      <c r="V401" s="15"/>
      <c r="W401" s="97"/>
      <c r="X401" s="96"/>
      <c r="Y401" s="106">
        <f ca="1">Table24[[#This Row],[End Date]]+2-TODAY()</f>
        <v>-45775</v>
      </c>
      <c r="Z401" s="15">
        <f>IF(ISBLANK(Table24[[#This Row],[Roster Received By]]),1,0)</f>
        <v>1</v>
      </c>
      <c r="AA401" s="97">
        <f ca="1">IF(Table24[[#This Row],[Start Date]]&gt;TODAY(),1,)</f>
        <v>0</v>
      </c>
    </row>
    <row r="402" spans="1:27" s="61" customFormat="1" x14ac:dyDescent="0.25">
      <c r="B402" s="96"/>
      <c r="C402" s="97" t="e">
        <v>#N/A</v>
      </c>
      <c r="D402" s="97" t="e">
        <v>#N/A</v>
      </c>
      <c r="E402" s="119"/>
      <c r="F402" s="99"/>
      <c r="G402" s="99"/>
      <c r="H402" s="102"/>
      <c r="I402" s="102"/>
      <c r="J402" s="102"/>
      <c r="K402" s="102"/>
      <c r="L402" s="102"/>
      <c r="M402" s="102"/>
      <c r="N402" s="102"/>
      <c r="O402" s="96"/>
      <c r="P402" s="96"/>
      <c r="Q402" s="15" t="e">
        <v>#N/A</v>
      </c>
      <c r="R402" s="15" t="e">
        <v>#N/A</v>
      </c>
      <c r="S402" s="15"/>
      <c r="T402" s="100"/>
      <c r="U402" s="15"/>
      <c r="V402" s="15"/>
      <c r="W402" s="15"/>
      <c r="X402" s="96"/>
      <c r="Y402" s="106">
        <f ca="1">Table24[[#This Row],[End Date]]+2-TODAY()</f>
        <v>-45775</v>
      </c>
      <c r="Z402" s="15">
        <f>IF(ISBLANK(Table24[[#This Row],[Roster Received By]]),1,0)</f>
        <v>1</v>
      </c>
      <c r="AA402" s="97">
        <f ca="1">IF(Table24[[#This Row],[Start Date]]&gt;TODAY(),1,)</f>
        <v>0</v>
      </c>
    </row>
    <row r="403" spans="1:27" s="61" customFormat="1" x14ac:dyDescent="0.25">
      <c r="B403" s="96"/>
      <c r="C403" s="97" t="e">
        <v>#N/A</v>
      </c>
      <c r="D403" s="97" t="e">
        <v>#N/A</v>
      </c>
      <c r="E403" s="96"/>
      <c r="F403" s="99"/>
      <c r="G403" s="99"/>
      <c r="H403" s="99"/>
      <c r="I403" s="98"/>
      <c r="J403" s="98"/>
      <c r="K403" s="98"/>
      <c r="L403" s="98"/>
      <c r="M403" s="98"/>
      <c r="N403" s="98"/>
      <c r="O403" s="96"/>
      <c r="P403" s="96"/>
      <c r="Q403" s="15" t="e">
        <v>#N/A</v>
      </c>
      <c r="R403" s="15" t="e">
        <v>#N/A</v>
      </c>
      <c r="S403" s="15"/>
      <c r="T403" s="100"/>
      <c r="U403" s="15"/>
      <c r="V403" s="15"/>
      <c r="W403" s="97"/>
      <c r="X403" s="96"/>
      <c r="Y403" s="106">
        <f ca="1">Table24[[#This Row],[End Date]]+2-TODAY()</f>
        <v>-45775</v>
      </c>
      <c r="Z403" s="15">
        <f>IF(ISBLANK(Table24[[#This Row],[Roster Received By]]),1,0)</f>
        <v>1</v>
      </c>
      <c r="AA403" s="97">
        <f ca="1">IF(Table24[[#This Row],[Start Date]]&gt;TODAY(),1,)</f>
        <v>0</v>
      </c>
    </row>
    <row r="404" spans="1:27" s="61" customFormat="1" x14ac:dyDescent="0.25">
      <c r="B404" s="96"/>
      <c r="C404" s="97" t="e">
        <v>#N/A</v>
      </c>
      <c r="D404" s="97" t="e">
        <v>#N/A</v>
      </c>
      <c r="E404" s="96"/>
      <c r="F404" s="99"/>
      <c r="G404" s="99"/>
      <c r="H404" s="102"/>
      <c r="I404" s="102"/>
      <c r="J404" s="102"/>
      <c r="K404" s="102"/>
      <c r="L404" s="102"/>
      <c r="M404" s="102"/>
      <c r="N404" s="99"/>
      <c r="O404" s="96"/>
      <c r="P404" s="96"/>
      <c r="Q404" s="15" t="e">
        <v>#N/A</v>
      </c>
      <c r="R404" s="15" t="e">
        <v>#N/A</v>
      </c>
      <c r="S404" s="15"/>
      <c r="T404" s="100"/>
      <c r="U404" s="15"/>
      <c r="V404" s="15"/>
      <c r="W404" s="97"/>
      <c r="X404" s="96"/>
      <c r="Y404" s="106">
        <f ca="1">Table24[[#This Row],[End Date]]+2-TODAY()</f>
        <v>-45775</v>
      </c>
      <c r="Z404" s="15">
        <f>IF(ISBLANK(Table24[[#This Row],[Roster Received By]]),1,0)</f>
        <v>1</v>
      </c>
      <c r="AA404" s="97">
        <f ca="1">IF(Table24[[#This Row],[Start Date]]&gt;TODAY(),1,)</f>
        <v>0</v>
      </c>
    </row>
    <row r="405" spans="1:27" s="61" customFormat="1" x14ac:dyDescent="0.25">
      <c r="B405" s="113"/>
      <c r="C405" s="97" t="e">
        <v>#N/A</v>
      </c>
      <c r="D405" s="97" t="e">
        <v>#N/A</v>
      </c>
      <c r="E405" s="96"/>
      <c r="F405" s="99"/>
      <c r="G405" s="99"/>
      <c r="H405" s="102"/>
      <c r="I405" s="102"/>
      <c r="J405" s="99"/>
      <c r="K405" s="99"/>
      <c r="L405" s="99"/>
      <c r="M405" s="99"/>
      <c r="N405" s="99"/>
      <c r="O405" s="96"/>
      <c r="P405" s="96"/>
      <c r="Q405" s="15" t="e">
        <v>#N/A</v>
      </c>
      <c r="R405" s="15" t="e">
        <v>#N/A</v>
      </c>
      <c r="S405" s="15"/>
      <c r="T405" s="100"/>
      <c r="U405" s="15"/>
      <c r="V405" s="15"/>
      <c r="W405" s="97"/>
      <c r="X405" s="96"/>
      <c r="Y405" s="106">
        <f ca="1">Table24[[#This Row],[End Date]]+2-TODAY()</f>
        <v>-45775</v>
      </c>
      <c r="Z405" s="15">
        <f>IF(ISBLANK(Table24[[#This Row],[Roster Received By]]),1,0)</f>
        <v>1</v>
      </c>
      <c r="AA405" s="97">
        <f ca="1">IF(Table24[[#This Row],[Start Date]]&gt;TODAY(),1,)</f>
        <v>0</v>
      </c>
    </row>
    <row r="406" spans="1:27" s="61" customFormat="1" x14ac:dyDescent="0.25">
      <c r="A406" s="139"/>
      <c r="B406" s="96"/>
      <c r="C406" s="97" t="e">
        <v>#N/A</v>
      </c>
      <c r="D406" s="97" t="e">
        <v>#N/A</v>
      </c>
      <c r="E406" s="96"/>
      <c r="F406" s="99"/>
      <c r="G406" s="99"/>
      <c r="H406" s="102"/>
      <c r="I406" s="102"/>
      <c r="J406" s="99"/>
      <c r="K406" s="99"/>
      <c r="L406" s="99"/>
      <c r="M406" s="99"/>
      <c r="N406" s="99"/>
      <c r="O406" s="96"/>
      <c r="P406" s="96"/>
      <c r="Q406" s="15" t="e">
        <v>#N/A</v>
      </c>
      <c r="R406" s="15" t="e">
        <v>#N/A</v>
      </c>
      <c r="S406" s="100"/>
      <c r="T406" s="100"/>
      <c r="U406" s="15"/>
      <c r="V406" s="15"/>
      <c r="W406" s="97"/>
      <c r="X406" s="96"/>
      <c r="Y406" s="106">
        <f ca="1">Table24[[#This Row],[End Date]]+2-TODAY()</f>
        <v>-45775</v>
      </c>
      <c r="Z406" s="15">
        <f>IF(ISBLANK(Table24[[#This Row],[Roster Received By]]),1,0)</f>
        <v>1</v>
      </c>
      <c r="AA406" s="97">
        <f ca="1">IF(Table24[[#This Row],[Start Date]]&gt;TODAY(),1,)</f>
        <v>0</v>
      </c>
    </row>
    <row r="407" spans="1:27" s="61" customFormat="1" x14ac:dyDescent="0.25">
      <c r="B407" s="96"/>
      <c r="C407" s="97" t="e">
        <v>#N/A</v>
      </c>
      <c r="D407" s="97" t="e">
        <v>#N/A</v>
      </c>
      <c r="E407" s="111"/>
      <c r="F407" s="112"/>
      <c r="G407" s="112"/>
      <c r="H407" s="112"/>
      <c r="I407" s="98"/>
      <c r="J407" s="98"/>
      <c r="K407" s="98"/>
      <c r="L407" s="98"/>
      <c r="M407" s="98"/>
      <c r="N407" s="98"/>
      <c r="O407" s="96"/>
      <c r="P407" s="96"/>
      <c r="Q407" s="15" t="e">
        <v>#N/A</v>
      </c>
      <c r="R407" s="15" t="e">
        <v>#N/A</v>
      </c>
      <c r="S407" s="15"/>
      <c r="T407" s="100"/>
      <c r="U407" s="15"/>
      <c r="V407" s="15"/>
      <c r="W407" s="97"/>
      <c r="X407" s="96"/>
      <c r="Y407" s="106">
        <f ca="1">Table24[[#This Row],[End Date]]+2-TODAY()</f>
        <v>-45775</v>
      </c>
      <c r="Z407" s="15">
        <f>IF(ISBLANK(Table24[[#This Row],[Roster Received By]]),1,0)</f>
        <v>1</v>
      </c>
      <c r="AA407" s="97">
        <f ca="1">IF(Table24[[#This Row],[Start Date]]&gt;TODAY(),1,)</f>
        <v>0</v>
      </c>
    </row>
    <row r="408" spans="1:27" s="61" customFormat="1" x14ac:dyDescent="0.25">
      <c r="B408" s="96"/>
      <c r="C408" s="97" t="e">
        <v>#N/A</v>
      </c>
      <c r="D408" s="97" t="e">
        <v>#N/A</v>
      </c>
      <c r="E408" s="64"/>
      <c r="F408" s="99"/>
      <c r="G408" s="99"/>
      <c r="H408" s="102"/>
      <c r="I408" s="102"/>
      <c r="J408" s="99"/>
      <c r="K408" s="99"/>
      <c r="L408" s="99"/>
      <c r="M408" s="99"/>
      <c r="N408" s="99"/>
      <c r="O408" s="96"/>
      <c r="P408" s="96"/>
      <c r="Q408" s="15" t="e">
        <v>#N/A</v>
      </c>
      <c r="R408" s="15" t="e">
        <v>#N/A</v>
      </c>
      <c r="S408" s="15"/>
      <c r="T408" s="100"/>
      <c r="U408" s="15"/>
      <c r="V408" s="15"/>
      <c r="W408" s="97"/>
      <c r="X408" s="96"/>
      <c r="Y408" s="106">
        <f ca="1">Table24[[#This Row],[End Date]]+2-TODAY()</f>
        <v>-45775</v>
      </c>
      <c r="Z408" s="15">
        <f>IF(ISBLANK(Table24[[#This Row],[Roster Received By]]),1,0)</f>
        <v>1</v>
      </c>
      <c r="AA408" s="97">
        <f ca="1">IF(Table24[[#This Row],[Start Date]]&gt;TODAY(),1,)</f>
        <v>0</v>
      </c>
    </row>
    <row r="409" spans="1:27" s="61" customFormat="1" x14ac:dyDescent="0.25">
      <c r="B409" s="96"/>
      <c r="C409" s="97" t="e">
        <v>#N/A</v>
      </c>
      <c r="D409" s="97" t="e">
        <v>#N/A</v>
      </c>
      <c r="E409" s="113"/>
      <c r="F409" s="107"/>
      <c r="G409" s="107"/>
      <c r="H409" s="102"/>
      <c r="I409" s="102"/>
      <c r="J409" s="99"/>
      <c r="K409" s="99"/>
      <c r="L409" s="99"/>
      <c r="M409" s="99"/>
      <c r="N409" s="99"/>
      <c r="O409" s="96"/>
      <c r="P409" s="96"/>
      <c r="Q409" s="15" t="e">
        <v>#N/A</v>
      </c>
      <c r="R409" s="15" t="e">
        <v>#N/A</v>
      </c>
      <c r="S409" s="15"/>
      <c r="T409" s="100"/>
      <c r="U409" s="15"/>
      <c r="V409" s="15"/>
      <c r="W409" s="97"/>
      <c r="X409" s="96"/>
      <c r="Y409" s="106">
        <f ca="1">Table24[[#This Row],[End Date]]+2-TODAY()</f>
        <v>-45775</v>
      </c>
      <c r="Z409" s="15">
        <f>IF(ISBLANK(Table24[[#This Row],[Roster Received By]]),1,0)</f>
        <v>1</v>
      </c>
      <c r="AA409" s="97">
        <f ca="1">IF(Table24[[#This Row],[Start Date]]&gt;TODAY(),1,)</f>
        <v>0</v>
      </c>
    </row>
    <row r="410" spans="1:27" s="61" customFormat="1" x14ac:dyDescent="0.25">
      <c r="B410" s="96"/>
      <c r="C410" s="97" t="e">
        <v>#N/A</v>
      </c>
      <c r="D410" s="97" t="e">
        <v>#N/A</v>
      </c>
      <c r="E410" s="113"/>
      <c r="F410" s="107"/>
      <c r="G410" s="107"/>
      <c r="H410" s="102"/>
      <c r="I410" s="102"/>
      <c r="J410" s="102"/>
      <c r="K410" s="102"/>
      <c r="L410" s="102"/>
      <c r="M410" s="102"/>
      <c r="N410" s="99"/>
      <c r="O410" s="96"/>
      <c r="P410" s="96"/>
      <c r="Q410" s="15" t="e">
        <v>#N/A</v>
      </c>
      <c r="R410" s="15" t="e">
        <v>#N/A</v>
      </c>
      <c r="S410" s="15"/>
      <c r="T410" s="100"/>
      <c r="U410" s="15"/>
      <c r="V410" s="15"/>
      <c r="W410" s="97"/>
      <c r="X410" s="96"/>
      <c r="Y410" s="106">
        <f ca="1">Table24[[#This Row],[End Date]]+2-TODAY()</f>
        <v>-45775</v>
      </c>
      <c r="Z410" s="15">
        <f>IF(ISBLANK(Table24[[#This Row],[Roster Received By]]),1,0)</f>
        <v>1</v>
      </c>
      <c r="AA410" s="97">
        <f ca="1">IF(Table24[[#This Row],[Start Date]]&gt;TODAY(),1,)</f>
        <v>0</v>
      </c>
    </row>
    <row r="411" spans="1:27" s="61" customFormat="1" x14ac:dyDescent="0.25">
      <c r="B411" s="96"/>
      <c r="C411" s="97" t="e">
        <v>#N/A</v>
      </c>
      <c r="D411" s="97" t="e">
        <v>#N/A</v>
      </c>
      <c r="E411" s="65"/>
      <c r="F411" s="95"/>
      <c r="G411" s="107"/>
      <c r="H411" s="102"/>
      <c r="I411" s="102"/>
      <c r="J411" s="99"/>
      <c r="K411" s="99"/>
      <c r="L411" s="99"/>
      <c r="M411" s="99"/>
      <c r="N411" s="99"/>
      <c r="O411" s="96"/>
      <c r="P411" s="96"/>
      <c r="Q411" s="15" t="e">
        <v>#N/A</v>
      </c>
      <c r="R411" s="15" t="e">
        <v>#N/A</v>
      </c>
      <c r="S411" s="15"/>
      <c r="T411" s="100"/>
      <c r="U411" s="15"/>
      <c r="V411" s="15"/>
      <c r="W411" s="97"/>
      <c r="X411" s="96"/>
      <c r="Y411" s="106">
        <f ca="1">Table24[[#This Row],[End Date]]+2-TODAY()</f>
        <v>-45775</v>
      </c>
      <c r="Z411" s="15">
        <f>IF(ISBLANK(Table24[[#This Row],[Roster Received By]]),1,0)</f>
        <v>1</v>
      </c>
      <c r="AA411" s="97">
        <f ca="1">IF(Table24[[#This Row],[Start Date]]&gt;TODAY(),1,)</f>
        <v>0</v>
      </c>
    </row>
    <row r="412" spans="1:27" s="61" customFormat="1" x14ac:dyDescent="0.25">
      <c r="B412" s="96"/>
      <c r="C412" s="97" t="e">
        <v>#N/A</v>
      </c>
      <c r="D412" s="97" t="e">
        <v>#N/A</v>
      </c>
      <c r="E412" s="119"/>
      <c r="F412" s="107"/>
      <c r="G412" s="107"/>
      <c r="H412" s="99"/>
      <c r="I412" s="98"/>
      <c r="J412" s="98"/>
      <c r="K412" s="98"/>
      <c r="L412" s="98"/>
      <c r="M412" s="98"/>
      <c r="N412" s="98"/>
      <c r="O412" s="96"/>
      <c r="P412" s="96"/>
      <c r="Q412" s="15" t="e">
        <v>#N/A</v>
      </c>
      <c r="R412" s="15" t="e">
        <v>#N/A</v>
      </c>
      <c r="S412" s="15"/>
      <c r="T412" s="100"/>
      <c r="U412" s="15"/>
      <c r="V412" s="15"/>
      <c r="W412" s="97"/>
      <c r="X412" s="96"/>
      <c r="Y412" s="106">
        <f ca="1">Table24[[#This Row],[End Date]]+2-TODAY()</f>
        <v>-45775</v>
      </c>
      <c r="Z412" s="15">
        <f>IF(ISBLANK(Table24[[#This Row],[Roster Received By]]),1,0)</f>
        <v>1</v>
      </c>
      <c r="AA412" s="97">
        <f ca="1">IF(Table24[[#This Row],[Start Date]]&gt;TODAY(),1,)</f>
        <v>0</v>
      </c>
    </row>
    <row r="413" spans="1:27" s="61" customFormat="1" x14ac:dyDescent="0.25">
      <c r="B413" s="96"/>
      <c r="C413" s="97" t="e">
        <v>#N/A</v>
      </c>
      <c r="D413" s="97" t="e">
        <v>#N/A</v>
      </c>
      <c r="E413" s="119"/>
      <c r="F413" s="107"/>
      <c r="G413" s="107"/>
      <c r="H413" s="99"/>
      <c r="I413" s="98"/>
      <c r="J413" s="98"/>
      <c r="K413" s="98"/>
      <c r="L413" s="98"/>
      <c r="M413" s="98"/>
      <c r="N413" s="98"/>
      <c r="O413" s="96"/>
      <c r="P413" s="96"/>
      <c r="Q413" s="15" t="e">
        <v>#N/A</v>
      </c>
      <c r="R413" s="15" t="e">
        <v>#N/A</v>
      </c>
      <c r="S413" s="15"/>
      <c r="T413" s="100"/>
      <c r="U413" s="15"/>
      <c r="V413" s="15"/>
      <c r="W413" s="97"/>
      <c r="X413" s="96"/>
      <c r="Y413" s="106">
        <f ca="1">Table24[[#This Row],[End Date]]+2-TODAY()</f>
        <v>-45775</v>
      </c>
      <c r="Z413" s="15">
        <f>IF(ISBLANK(Table24[[#This Row],[Roster Received By]]),1,0)</f>
        <v>1</v>
      </c>
      <c r="AA413" s="97">
        <f ca="1">IF(Table24[[#This Row],[Start Date]]&gt;TODAY(),1,)</f>
        <v>0</v>
      </c>
    </row>
    <row r="414" spans="1:27" s="61" customFormat="1" x14ac:dyDescent="0.25">
      <c r="B414" s="96"/>
      <c r="C414" s="97" t="e">
        <v>#N/A</v>
      </c>
      <c r="D414" s="97" t="e">
        <v>#N/A</v>
      </c>
      <c r="E414" s="119"/>
      <c r="F414" s="107"/>
      <c r="G414" s="107"/>
      <c r="H414" s="99"/>
      <c r="I414" s="98"/>
      <c r="J414" s="98"/>
      <c r="K414" s="98"/>
      <c r="L414" s="98"/>
      <c r="M414" s="98"/>
      <c r="N414" s="98"/>
      <c r="O414" s="96"/>
      <c r="P414" s="96"/>
      <c r="Q414" s="15" t="e">
        <v>#N/A</v>
      </c>
      <c r="R414" s="15" t="e">
        <v>#N/A</v>
      </c>
      <c r="S414" s="15"/>
      <c r="T414" s="100"/>
      <c r="U414" s="15"/>
      <c r="V414" s="15"/>
      <c r="W414" s="97"/>
      <c r="X414" s="96"/>
      <c r="Y414" s="106">
        <f ca="1">Table24[[#This Row],[End Date]]+2-TODAY()</f>
        <v>-45775</v>
      </c>
      <c r="Z414" s="15">
        <f>IF(ISBLANK(Table24[[#This Row],[Roster Received By]]),1,0)</f>
        <v>1</v>
      </c>
      <c r="AA414" s="97">
        <f ca="1">IF(Table24[[#This Row],[Start Date]]&gt;TODAY(),1,)</f>
        <v>0</v>
      </c>
    </row>
    <row r="415" spans="1:27" s="61" customFormat="1" x14ac:dyDescent="0.25">
      <c r="B415" s="96"/>
      <c r="C415" s="97" t="e">
        <v>#N/A</v>
      </c>
      <c r="D415" s="97" t="e">
        <v>#N/A</v>
      </c>
      <c r="E415" s="119"/>
      <c r="F415" s="99"/>
      <c r="G415" s="99"/>
      <c r="H415" s="99"/>
      <c r="I415" s="98"/>
      <c r="J415" s="98"/>
      <c r="K415" s="98"/>
      <c r="L415" s="98"/>
      <c r="M415" s="98"/>
      <c r="N415" s="98"/>
      <c r="O415" s="96"/>
      <c r="P415" s="96"/>
      <c r="Q415" s="15" t="e">
        <v>#N/A</v>
      </c>
      <c r="R415" s="15" t="e">
        <v>#N/A</v>
      </c>
      <c r="S415" s="15"/>
      <c r="T415" s="100"/>
      <c r="U415" s="15"/>
      <c r="V415" s="15"/>
      <c r="W415" s="97"/>
      <c r="X415" s="96"/>
      <c r="Y415" s="106">
        <f ca="1">Table24[[#This Row],[End Date]]+2-TODAY()</f>
        <v>-45775</v>
      </c>
      <c r="Z415" s="15">
        <f>IF(ISBLANK(Table24[[#This Row],[Roster Received By]]),1,0)</f>
        <v>1</v>
      </c>
      <c r="AA415" s="97">
        <f ca="1">IF(Table24[[#This Row],[Start Date]]&gt;TODAY(),1,)</f>
        <v>0</v>
      </c>
    </row>
    <row r="416" spans="1:27" s="61" customFormat="1" x14ac:dyDescent="0.25">
      <c r="B416" s="96"/>
      <c r="C416" s="97" t="e">
        <v>#N/A</v>
      </c>
      <c r="D416" s="97" t="e">
        <v>#N/A</v>
      </c>
      <c r="E416" s="119"/>
      <c r="F416" s="99"/>
      <c r="G416" s="99"/>
      <c r="H416" s="105"/>
      <c r="I416" s="105"/>
      <c r="J416" s="99"/>
      <c r="K416" s="99"/>
      <c r="L416" s="99"/>
      <c r="M416" s="99"/>
      <c r="N416" s="99"/>
      <c r="O416" s="96"/>
      <c r="P416" s="96"/>
      <c r="Q416" s="15" t="e">
        <v>#N/A</v>
      </c>
      <c r="R416" s="15" t="e">
        <v>#N/A</v>
      </c>
      <c r="S416" s="15"/>
      <c r="T416" s="100"/>
      <c r="U416" s="15"/>
      <c r="V416" s="15"/>
      <c r="W416" s="97"/>
      <c r="X416" s="96"/>
      <c r="Y416" s="106">
        <f ca="1">Table24[[#This Row],[End Date]]+2-TODAY()</f>
        <v>-45775</v>
      </c>
      <c r="Z416" s="15">
        <f>IF(ISBLANK(Table24[[#This Row],[Roster Received By]]),1,0)</f>
        <v>1</v>
      </c>
      <c r="AA416" s="97">
        <f ca="1">IF(Table24[[#This Row],[Start Date]]&gt;TODAY(),1,)</f>
        <v>0</v>
      </c>
    </row>
    <row r="417" spans="1:27" s="61" customFormat="1" x14ac:dyDescent="0.25">
      <c r="A417" s="96"/>
      <c r="B417" s="96"/>
      <c r="C417" s="97" t="e">
        <v>#N/A</v>
      </c>
      <c r="D417" s="97" t="e">
        <v>#N/A</v>
      </c>
      <c r="E417" s="119"/>
      <c r="F417" s="99"/>
      <c r="G417" s="99"/>
      <c r="H417" s="105"/>
      <c r="I417" s="105"/>
      <c r="J417" s="99"/>
      <c r="K417" s="99"/>
      <c r="L417" s="99"/>
      <c r="M417" s="99"/>
      <c r="N417" s="99"/>
      <c r="O417" s="96"/>
      <c r="P417" s="96"/>
      <c r="Q417" s="15" t="e">
        <v>#N/A</v>
      </c>
      <c r="R417" s="15" t="e">
        <v>#N/A</v>
      </c>
      <c r="S417" s="15"/>
      <c r="T417" s="100"/>
      <c r="U417" s="15"/>
      <c r="V417" s="15"/>
      <c r="W417" s="97"/>
      <c r="X417" s="96"/>
      <c r="Y417" s="106">
        <f ca="1">Table24[[#This Row],[End Date]]+2-TODAY()</f>
        <v>-45775</v>
      </c>
      <c r="Z417" s="15">
        <f>IF(ISBLANK(Table24[[#This Row],[Roster Received By]]),1,0)</f>
        <v>1</v>
      </c>
      <c r="AA417" s="97">
        <f ca="1">IF(Table24[[#This Row],[Start Date]]&gt;TODAY(),1,)</f>
        <v>0</v>
      </c>
    </row>
    <row r="418" spans="1:27" s="61" customFormat="1" x14ac:dyDescent="0.25">
      <c r="B418" s="96"/>
      <c r="C418" s="97" t="e">
        <v>#N/A</v>
      </c>
      <c r="D418" s="97" t="e">
        <v>#N/A</v>
      </c>
      <c r="E418" s="119"/>
      <c r="F418" s="99"/>
      <c r="G418" s="99"/>
      <c r="H418" s="99"/>
      <c r="I418" s="98"/>
      <c r="J418" s="98"/>
      <c r="K418" s="98"/>
      <c r="L418" s="98"/>
      <c r="M418" s="98"/>
      <c r="N418" s="98"/>
      <c r="O418" s="96"/>
      <c r="P418" s="96"/>
      <c r="Q418" s="15" t="e">
        <v>#N/A</v>
      </c>
      <c r="R418" s="15" t="e">
        <v>#N/A</v>
      </c>
      <c r="S418" s="15"/>
      <c r="T418" s="100"/>
      <c r="U418" s="15"/>
      <c r="V418" s="15"/>
      <c r="W418" s="97"/>
      <c r="X418" s="96"/>
      <c r="Y418" s="106">
        <f ca="1">Table24[[#This Row],[End Date]]+2-TODAY()</f>
        <v>-45775</v>
      </c>
      <c r="Z418" s="15">
        <f>IF(ISBLANK(Table24[[#This Row],[Roster Received By]]),1,0)</f>
        <v>1</v>
      </c>
      <c r="AA418" s="97">
        <f ca="1">IF(Table24[[#This Row],[Start Date]]&gt;TODAY(),1,)</f>
        <v>0</v>
      </c>
    </row>
    <row r="419" spans="1:27" s="61" customFormat="1" x14ac:dyDescent="0.25">
      <c r="B419" s="96"/>
      <c r="C419" s="97" t="e">
        <v>#N/A</v>
      </c>
      <c r="D419" s="97" t="e">
        <v>#N/A</v>
      </c>
      <c r="E419" s="96"/>
      <c r="F419" s="99"/>
      <c r="G419" s="99"/>
      <c r="H419" s="99"/>
      <c r="I419" s="98"/>
      <c r="J419" s="98"/>
      <c r="K419" s="98"/>
      <c r="L419" s="98"/>
      <c r="M419" s="98"/>
      <c r="N419" s="98"/>
      <c r="O419" s="96"/>
      <c r="P419" s="96"/>
      <c r="Q419" s="15" t="e">
        <v>#N/A</v>
      </c>
      <c r="R419" s="15" t="e">
        <v>#N/A</v>
      </c>
      <c r="S419" s="15"/>
      <c r="T419" s="100"/>
      <c r="U419" s="15"/>
      <c r="V419" s="15"/>
      <c r="W419" s="97"/>
      <c r="X419" s="96"/>
      <c r="Y419" s="106">
        <f ca="1">Table24[[#This Row],[End Date]]+2-TODAY()</f>
        <v>-45775</v>
      </c>
      <c r="Z419" s="15">
        <f>IF(ISBLANK(Table24[[#This Row],[Roster Received By]]),1,0)</f>
        <v>1</v>
      </c>
      <c r="AA419" s="97">
        <f ca="1">IF(Table24[[#This Row],[Start Date]]&gt;TODAY(),1,)</f>
        <v>0</v>
      </c>
    </row>
    <row r="420" spans="1:27" s="61" customFormat="1" x14ac:dyDescent="0.25">
      <c r="B420" s="96"/>
      <c r="C420" s="97" t="e">
        <v>#N/A</v>
      </c>
      <c r="D420" s="97" t="e">
        <v>#N/A</v>
      </c>
      <c r="E420" s="96"/>
      <c r="F420" s="99"/>
      <c r="G420" s="99"/>
      <c r="H420" s="102"/>
      <c r="I420" s="109"/>
      <c r="J420" s="109"/>
      <c r="K420" s="109"/>
      <c r="L420" s="109"/>
      <c r="M420" s="109"/>
      <c r="N420" s="109"/>
      <c r="O420" s="96"/>
      <c r="P420" s="96"/>
      <c r="Q420" s="15" t="e">
        <v>#N/A</v>
      </c>
      <c r="R420" s="15" t="e">
        <v>#N/A</v>
      </c>
      <c r="S420" s="100"/>
      <c r="T420" s="110"/>
      <c r="U420" s="110"/>
      <c r="V420" s="110"/>
      <c r="W420" s="110"/>
      <c r="X420" s="96"/>
      <c r="Y420" s="110"/>
    </row>
    <row r="421" spans="1:27" s="61" customFormat="1" x14ac:dyDescent="0.25">
      <c r="B421" s="96"/>
      <c r="C421" s="97" t="e">
        <v>#N/A</v>
      </c>
      <c r="D421" s="97" t="e">
        <v>#N/A</v>
      </c>
      <c r="E421" s="96"/>
      <c r="F421" s="99"/>
      <c r="G421" s="99"/>
      <c r="H421" s="102"/>
      <c r="I421" s="102"/>
      <c r="J421" s="99"/>
      <c r="K421" s="99"/>
      <c r="L421" s="99"/>
      <c r="M421" s="99"/>
      <c r="N421" s="99"/>
      <c r="O421" s="96"/>
      <c r="P421" s="96"/>
      <c r="Q421" s="15" t="e">
        <v>#N/A</v>
      </c>
      <c r="R421" s="15" t="e">
        <v>#N/A</v>
      </c>
      <c r="S421" s="100"/>
      <c r="T421" s="100"/>
      <c r="U421" s="15"/>
      <c r="V421" s="15"/>
      <c r="W421" s="97"/>
      <c r="X421" s="96"/>
      <c r="Y421" s="106">
        <f ca="1">Table24[[#This Row],[End Date]]+2-TODAY()</f>
        <v>-45775</v>
      </c>
      <c r="Z421" s="15">
        <f>IF(ISBLANK(Table24[[#This Row],[Roster Received By]]),1,0)</f>
        <v>1</v>
      </c>
      <c r="AA421" s="97">
        <f ca="1">IF(Table24[[#This Row],[Start Date]]&gt;TODAY(),1,)</f>
        <v>0</v>
      </c>
    </row>
    <row r="422" spans="1:27" s="61" customFormat="1" x14ac:dyDescent="0.25">
      <c r="B422" s="96"/>
      <c r="C422" s="97" t="e">
        <v>#N/A</v>
      </c>
      <c r="D422" s="97" t="e">
        <v>#N/A</v>
      </c>
      <c r="E422" s="64"/>
      <c r="F422" s="99"/>
      <c r="G422" s="99"/>
      <c r="H422" s="102"/>
      <c r="I422" s="102"/>
      <c r="J422" s="99"/>
      <c r="K422" s="99"/>
      <c r="L422" s="99"/>
      <c r="M422" s="99"/>
      <c r="N422" s="99"/>
      <c r="O422" s="96"/>
      <c r="P422" s="96"/>
      <c r="Q422" s="15" t="e">
        <v>#N/A</v>
      </c>
      <c r="R422" s="15" t="e">
        <v>#N/A</v>
      </c>
      <c r="S422" s="15"/>
      <c r="T422" s="100"/>
      <c r="U422" s="15"/>
      <c r="V422" s="15"/>
      <c r="W422" s="15"/>
      <c r="X422" s="96"/>
      <c r="Y422" s="69">
        <f ca="1">Table24[[#This Row],[End Date]]+2-TODAY()</f>
        <v>-45775</v>
      </c>
      <c r="Z422" s="15">
        <f>IF(ISBLANK(Table24[[#This Row],[Roster Received By]]),1,0)</f>
        <v>1</v>
      </c>
      <c r="AA422" s="15">
        <f ca="1">IF(Table24[[#This Row],[Start Date]]&gt;TODAY(),1,)</f>
        <v>0</v>
      </c>
    </row>
    <row r="423" spans="1:27" s="61" customFormat="1" x14ac:dyDescent="0.25">
      <c r="B423" s="96"/>
      <c r="C423" s="97" t="e">
        <v>#N/A</v>
      </c>
      <c r="D423" s="97" t="e">
        <v>#N/A</v>
      </c>
      <c r="E423" s="96"/>
      <c r="F423" s="99"/>
      <c r="G423" s="99"/>
      <c r="H423" s="102"/>
      <c r="I423" s="102"/>
      <c r="J423" s="99"/>
      <c r="K423" s="99"/>
      <c r="L423" s="99"/>
      <c r="M423" s="99"/>
      <c r="N423" s="99"/>
      <c r="O423" s="96"/>
      <c r="P423" s="96"/>
      <c r="Q423" s="15" t="e">
        <v>#N/A</v>
      </c>
      <c r="R423" s="15" t="e">
        <v>#N/A</v>
      </c>
      <c r="S423" s="15"/>
      <c r="T423" s="100"/>
      <c r="U423" s="15"/>
      <c r="V423" s="15"/>
      <c r="W423" s="97"/>
      <c r="X423" s="96"/>
      <c r="Y423" s="106">
        <f ca="1">Table24[[#This Row],[End Date]]+2-TODAY()</f>
        <v>-45775</v>
      </c>
      <c r="Z423" s="15">
        <f>IF(ISBLANK(Table24[[#This Row],[Roster Received By]]),1,0)</f>
        <v>1</v>
      </c>
      <c r="AA423" s="97">
        <f ca="1">IF(Table24[[#This Row],[Start Date]]&gt;TODAY(),1,)</f>
        <v>0</v>
      </c>
    </row>
    <row r="424" spans="1:27" s="61" customFormat="1" x14ac:dyDescent="0.25">
      <c r="B424" s="96"/>
      <c r="C424" s="97" t="e">
        <v>#N/A</v>
      </c>
      <c r="D424" s="97" t="e">
        <v>#N/A</v>
      </c>
      <c r="E424" s="64"/>
      <c r="F424" s="99"/>
      <c r="G424" s="99"/>
      <c r="H424" s="102"/>
      <c r="I424" s="102"/>
      <c r="J424" s="99"/>
      <c r="K424" s="99"/>
      <c r="L424" s="99"/>
      <c r="M424" s="99"/>
      <c r="N424" s="99"/>
      <c r="O424" s="96"/>
      <c r="P424" s="96"/>
      <c r="Q424" s="15" t="e">
        <v>#N/A</v>
      </c>
      <c r="R424" s="15" t="e">
        <v>#N/A</v>
      </c>
      <c r="S424" s="15"/>
      <c r="T424" s="100"/>
      <c r="U424" s="15"/>
      <c r="V424" s="15"/>
      <c r="W424" s="97"/>
      <c r="X424" s="96"/>
      <c r="Y424" s="106">
        <f ca="1">Table24[[#This Row],[End Date]]+2-TODAY()</f>
        <v>-45775</v>
      </c>
      <c r="Z424" s="15">
        <f>IF(ISBLANK(Table24[[#This Row],[Roster Received By]]),1,0)</f>
        <v>1</v>
      </c>
      <c r="AA424" s="97">
        <f ca="1">IF(Table24[[#This Row],[Start Date]]&gt;TODAY(),1,)</f>
        <v>0</v>
      </c>
    </row>
    <row r="425" spans="1:27" s="61" customFormat="1" x14ac:dyDescent="0.25">
      <c r="B425" s="96"/>
      <c r="C425" s="97" t="e">
        <v>#N/A</v>
      </c>
      <c r="D425" s="97" t="e">
        <v>#N/A</v>
      </c>
      <c r="E425" s="96"/>
      <c r="F425" s="99"/>
      <c r="G425" s="99"/>
      <c r="H425" s="102"/>
      <c r="I425" s="102"/>
      <c r="J425" s="99"/>
      <c r="K425" s="99"/>
      <c r="L425" s="99"/>
      <c r="M425" s="99"/>
      <c r="N425" s="99"/>
      <c r="O425" s="96"/>
      <c r="P425" s="96"/>
      <c r="Q425" s="15" t="e">
        <v>#N/A</v>
      </c>
      <c r="R425" s="15" t="e">
        <v>#N/A</v>
      </c>
      <c r="S425" s="15"/>
      <c r="T425" s="100"/>
      <c r="U425" s="15"/>
      <c r="V425" s="15"/>
      <c r="W425" s="15"/>
      <c r="X425" s="96"/>
      <c r="Y425" s="106">
        <f ca="1">Table24[[#This Row],[End Date]]+2-TODAY()</f>
        <v>-45775</v>
      </c>
      <c r="Z425" s="15">
        <f>IF(ISBLANK(Table24[[#This Row],[Roster Received By]]),1,0)</f>
        <v>1</v>
      </c>
      <c r="AA425" s="97">
        <f ca="1">IF(Table24[[#This Row],[Start Date]]&gt;TODAY(),1,)</f>
        <v>0</v>
      </c>
    </row>
    <row r="426" spans="1:27" s="61" customFormat="1" x14ac:dyDescent="0.25">
      <c r="A426" s="96"/>
      <c r="B426" s="96"/>
      <c r="C426" s="97" t="e">
        <v>#N/A</v>
      </c>
      <c r="D426" s="97" t="e">
        <v>#N/A</v>
      </c>
      <c r="E426" s="96"/>
      <c r="F426" s="99"/>
      <c r="G426" s="99"/>
      <c r="H426" s="102"/>
      <c r="I426" s="102"/>
      <c r="J426" s="99"/>
      <c r="K426" s="99"/>
      <c r="L426" s="99"/>
      <c r="M426" s="99"/>
      <c r="N426" s="99"/>
      <c r="O426" s="96"/>
      <c r="P426" s="96"/>
      <c r="Q426" s="15" t="e">
        <v>#N/A</v>
      </c>
      <c r="R426" s="15" t="e">
        <v>#N/A</v>
      </c>
      <c r="S426" s="15"/>
      <c r="T426" s="100"/>
      <c r="U426" s="15"/>
      <c r="V426" s="15"/>
      <c r="W426" s="97"/>
      <c r="X426" s="96"/>
      <c r="Y426" s="106">
        <f ca="1">Table24[[#This Row],[End Date]]+2-TODAY()</f>
        <v>-45775</v>
      </c>
      <c r="Z426" s="15">
        <f>IF(ISBLANK(Table24[[#This Row],[Roster Received By]]),1,0)</f>
        <v>1</v>
      </c>
      <c r="AA426" s="97">
        <f ca="1">IF(Table24[[#This Row],[Start Date]]&gt;TODAY(),1,)</f>
        <v>0</v>
      </c>
    </row>
    <row r="427" spans="1:27" s="61" customFormat="1" x14ac:dyDescent="0.25">
      <c r="B427" s="96"/>
      <c r="C427" s="97" t="e">
        <v>#N/A</v>
      </c>
      <c r="D427" s="97" t="e">
        <v>#N/A</v>
      </c>
      <c r="E427" s="96"/>
      <c r="F427" s="99"/>
      <c r="G427" s="99"/>
      <c r="H427" s="102"/>
      <c r="I427" s="102"/>
      <c r="J427" s="99"/>
      <c r="K427" s="99"/>
      <c r="L427" s="99"/>
      <c r="M427" s="99"/>
      <c r="N427" s="99"/>
      <c r="O427" s="96"/>
      <c r="P427" s="96"/>
      <c r="Q427" s="15" t="e">
        <v>#N/A</v>
      </c>
      <c r="R427" s="15" t="e">
        <v>#N/A</v>
      </c>
      <c r="S427" s="15"/>
      <c r="T427" s="100"/>
      <c r="U427" s="15"/>
      <c r="V427" s="15"/>
      <c r="W427" s="97"/>
      <c r="X427" s="96"/>
      <c r="Y427" s="106">
        <f ca="1">Table24[[#This Row],[End Date]]+2-TODAY()</f>
        <v>-45775</v>
      </c>
      <c r="Z427" s="15">
        <f>IF(ISBLANK(Table24[[#This Row],[Roster Received By]]),1,0)</f>
        <v>1</v>
      </c>
      <c r="AA427" s="97">
        <f ca="1">IF(Table24[[#This Row],[Start Date]]&gt;TODAY(),1,)</f>
        <v>0</v>
      </c>
    </row>
    <row r="428" spans="1:27" s="61" customFormat="1" x14ac:dyDescent="0.25">
      <c r="B428" s="96"/>
      <c r="C428" s="97" t="e">
        <v>#N/A</v>
      </c>
      <c r="D428" s="97" t="e">
        <v>#N/A</v>
      </c>
      <c r="E428" s="96"/>
      <c r="F428" s="99"/>
      <c r="G428" s="99"/>
      <c r="H428" s="102"/>
      <c r="I428" s="102"/>
      <c r="J428" s="99"/>
      <c r="K428" s="99"/>
      <c r="L428" s="99"/>
      <c r="M428" s="99"/>
      <c r="N428" s="99"/>
      <c r="O428" s="96"/>
      <c r="P428" s="96"/>
      <c r="Q428" s="15" t="e">
        <v>#N/A</v>
      </c>
      <c r="R428" s="15" t="e">
        <v>#N/A</v>
      </c>
      <c r="S428" s="100"/>
      <c r="T428" s="100"/>
      <c r="U428" s="15"/>
      <c r="V428" s="15"/>
      <c r="W428" s="15"/>
      <c r="X428" s="96"/>
      <c r="Y428" s="69">
        <f ca="1">Table24[[#This Row],[End Date]]+2-TODAY()</f>
        <v>-45775</v>
      </c>
      <c r="Z428" s="15">
        <f>IF(ISBLANK(Table24[[#This Row],[Roster Received By]]),1,0)</f>
        <v>1</v>
      </c>
      <c r="AA428" s="15">
        <f ca="1">IF(Table24[[#This Row],[Start Date]]&gt;TODAY(),1,)</f>
        <v>0</v>
      </c>
    </row>
    <row r="429" spans="1:27" s="61" customFormat="1" x14ac:dyDescent="0.25">
      <c r="B429" s="96"/>
      <c r="C429" s="97" t="e">
        <v>#N/A</v>
      </c>
      <c r="D429" s="97" t="e">
        <v>#N/A</v>
      </c>
      <c r="E429" s="64"/>
      <c r="F429" s="99"/>
      <c r="G429" s="99"/>
      <c r="H429" s="102"/>
      <c r="I429" s="102"/>
      <c r="J429" s="99"/>
      <c r="K429" s="99"/>
      <c r="L429" s="99"/>
      <c r="M429" s="99"/>
      <c r="N429" s="99"/>
      <c r="O429" s="96"/>
      <c r="P429" s="96"/>
      <c r="Q429" s="15" t="e">
        <v>#N/A</v>
      </c>
      <c r="R429" s="15" t="e">
        <v>#N/A</v>
      </c>
      <c r="S429" s="15"/>
      <c r="T429" s="100"/>
      <c r="U429" s="15"/>
      <c r="V429" s="15"/>
      <c r="W429" s="97"/>
      <c r="X429" s="96"/>
      <c r="Y429" s="106">
        <f ca="1">Table24[[#This Row],[End Date]]+2-TODAY()</f>
        <v>-45775</v>
      </c>
      <c r="Z429" s="15">
        <f>IF(ISBLANK(Table24[[#This Row],[Roster Received By]]),1,0)</f>
        <v>1</v>
      </c>
      <c r="AA429" s="97">
        <f ca="1">IF(Table24[[#This Row],[Start Date]]&gt;TODAY(),1,)</f>
        <v>0</v>
      </c>
    </row>
    <row r="430" spans="1:27" s="61" customFormat="1" x14ac:dyDescent="0.25">
      <c r="B430" s="96"/>
      <c r="C430" s="97" t="e">
        <v>#N/A</v>
      </c>
      <c r="D430" s="97" t="e">
        <v>#N/A</v>
      </c>
      <c r="E430" s="96"/>
      <c r="F430" s="99"/>
      <c r="G430" s="99"/>
      <c r="H430" s="99"/>
      <c r="I430" s="98"/>
      <c r="J430" s="98"/>
      <c r="K430" s="98"/>
      <c r="L430" s="98"/>
      <c r="M430" s="98"/>
      <c r="N430" s="98"/>
      <c r="O430" s="96"/>
      <c r="P430" s="96"/>
      <c r="Q430" s="15" t="e">
        <v>#N/A</v>
      </c>
      <c r="R430" s="15" t="e">
        <v>#N/A</v>
      </c>
      <c r="S430" s="15"/>
      <c r="T430" s="100"/>
      <c r="U430" s="15"/>
      <c r="V430" s="15"/>
      <c r="W430" s="97"/>
      <c r="X430" s="96"/>
      <c r="Y430" s="106">
        <f ca="1">Table24[[#This Row],[End Date]]+2-TODAY()</f>
        <v>-45775</v>
      </c>
      <c r="Z430" s="15">
        <f>IF(ISBLANK(Table24[[#This Row],[Roster Received By]]),1,0)</f>
        <v>1</v>
      </c>
      <c r="AA430" s="97">
        <f ca="1">IF(Table24[[#This Row],[Start Date]]&gt;TODAY(),1,)</f>
        <v>0</v>
      </c>
    </row>
    <row r="431" spans="1:27" s="61" customFormat="1" x14ac:dyDescent="0.25">
      <c r="A431" s="96"/>
      <c r="B431" s="96"/>
      <c r="C431" s="97" t="e">
        <v>#N/A</v>
      </c>
      <c r="D431" s="97" t="e">
        <v>#N/A</v>
      </c>
      <c r="E431" s="96"/>
      <c r="F431" s="99"/>
      <c r="G431" s="99"/>
      <c r="H431" s="102"/>
      <c r="I431" s="102"/>
      <c r="J431" s="99"/>
      <c r="K431" s="99"/>
      <c r="L431" s="99"/>
      <c r="M431" s="99"/>
      <c r="N431" s="99"/>
      <c r="O431" s="96"/>
      <c r="P431" s="96"/>
      <c r="Q431" s="15" t="e">
        <v>#N/A</v>
      </c>
      <c r="R431" s="15" t="e">
        <v>#N/A</v>
      </c>
      <c r="S431" s="15"/>
      <c r="T431" s="100"/>
      <c r="U431" s="15"/>
      <c r="V431" s="15"/>
      <c r="W431" s="97"/>
      <c r="X431" s="96"/>
      <c r="Y431" s="106">
        <f ca="1">Table24[[#This Row],[End Date]]+2-TODAY()</f>
        <v>-45775</v>
      </c>
      <c r="Z431" s="15">
        <f>IF(ISBLANK(Table24[[#This Row],[Roster Received By]]),1,0)</f>
        <v>1</v>
      </c>
      <c r="AA431" s="97">
        <f ca="1">IF(Table24[[#This Row],[Start Date]]&gt;TODAY(),1,)</f>
        <v>0</v>
      </c>
    </row>
    <row r="432" spans="1:27" s="61" customFormat="1" x14ac:dyDescent="0.25">
      <c r="A432" s="96"/>
      <c r="B432" s="96"/>
      <c r="C432" s="97" t="e">
        <v>#N/A</v>
      </c>
      <c r="D432" s="97" t="e">
        <v>#N/A</v>
      </c>
      <c r="E432" s="64"/>
      <c r="F432" s="99"/>
      <c r="G432" s="99"/>
      <c r="H432" s="102"/>
      <c r="I432" s="102"/>
      <c r="J432" s="99"/>
      <c r="K432" s="99"/>
      <c r="L432" s="99"/>
      <c r="M432" s="99"/>
      <c r="N432" s="99"/>
      <c r="O432" s="96"/>
      <c r="P432" s="96"/>
      <c r="Q432" s="15" t="e">
        <v>#N/A</v>
      </c>
      <c r="R432" s="15" t="e">
        <v>#N/A</v>
      </c>
      <c r="S432" s="15"/>
      <c r="T432" s="100"/>
      <c r="U432" s="15"/>
      <c r="V432" s="15"/>
      <c r="W432" s="97"/>
      <c r="X432" s="96"/>
      <c r="Y432" s="106">
        <f ca="1">Table24[[#This Row],[End Date]]+2-TODAY()</f>
        <v>-45775</v>
      </c>
      <c r="Z432" s="15">
        <f>IF(ISBLANK(Table24[[#This Row],[Roster Received By]]),1,0)</f>
        <v>1</v>
      </c>
      <c r="AA432" s="97">
        <f ca="1">IF(Table24[[#This Row],[Start Date]]&gt;TODAY(),1,)</f>
        <v>0</v>
      </c>
    </row>
    <row r="433" spans="1:27" s="61" customFormat="1" x14ac:dyDescent="0.25">
      <c r="B433" s="96"/>
      <c r="C433" s="97" t="e">
        <v>#N/A</v>
      </c>
      <c r="D433" s="97" t="e">
        <v>#N/A</v>
      </c>
      <c r="E433" s="96"/>
      <c r="F433" s="99"/>
      <c r="G433" s="99"/>
      <c r="H433" s="99"/>
      <c r="I433" s="98"/>
      <c r="J433" s="98"/>
      <c r="K433" s="98"/>
      <c r="L433" s="98"/>
      <c r="M433" s="98"/>
      <c r="N433" s="98"/>
      <c r="O433" s="96"/>
      <c r="P433" s="96"/>
      <c r="Q433" s="15" t="e">
        <v>#N/A</v>
      </c>
      <c r="R433" s="15" t="e">
        <v>#N/A</v>
      </c>
      <c r="S433" s="15"/>
      <c r="T433" s="100"/>
      <c r="U433" s="15"/>
      <c r="V433" s="15"/>
      <c r="W433" s="97"/>
      <c r="X433" s="96"/>
      <c r="Y433" s="106">
        <f ca="1">Table24[[#This Row],[End Date]]+2-TODAY()</f>
        <v>-45775</v>
      </c>
      <c r="Z433" s="15">
        <f>IF(ISBLANK(Table24[[#This Row],[Roster Received By]]),1,0)</f>
        <v>1</v>
      </c>
      <c r="AA433" s="97">
        <f ca="1">IF(Table24[[#This Row],[Start Date]]&gt;TODAY(),1,)</f>
        <v>0</v>
      </c>
    </row>
    <row r="434" spans="1:27" s="61" customFormat="1" x14ac:dyDescent="0.25">
      <c r="B434" s="96"/>
      <c r="C434" s="97" t="e">
        <v>#N/A</v>
      </c>
      <c r="D434" s="97" t="e">
        <v>#N/A</v>
      </c>
      <c r="E434" s="64"/>
      <c r="F434" s="99"/>
      <c r="G434" s="99"/>
      <c r="H434" s="102"/>
      <c r="I434" s="102"/>
      <c r="J434" s="99"/>
      <c r="K434" s="99"/>
      <c r="L434" s="99"/>
      <c r="M434" s="99"/>
      <c r="N434" s="99"/>
      <c r="O434" s="96"/>
      <c r="P434" s="96"/>
      <c r="Q434" s="15" t="e">
        <v>#N/A</v>
      </c>
      <c r="R434" s="15" t="e">
        <v>#N/A</v>
      </c>
      <c r="S434" s="15"/>
      <c r="T434" s="100"/>
      <c r="U434" s="15"/>
      <c r="V434" s="15"/>
      <c r="W434" s="97"/>
      <c r="X434" s="96"/>
      <c r="Y434" s="106">
        <f ca="1">Table24[[#This Row],[End Date]]+2-TODAY()</f>
        <v>-45775</v>
      </c>
      <c r="Z434" s="15">
        <f>IF(ISBLANK(Table24[[#This Row],[Roster Received By]]),1,0)</f>
        <v>1</v>
      </c>
      <c r="AA434" s="97">
        <f ca="1">IF(Table24[[#This Row],[Start Date]]&gt;TODAY(),1,)</f>
        <v>0</v>
      </c>
    </row>
    <row r="435" spans="1:27" s="61" customFormat="1" x14ac:dyDescent="0.25">
      <c r="B435" s="96"/>
      <c r="C435" s="97" t="e">
        <v>#N/A</v>
      </c>
      <c r="D435" s="97" t="e">
        <v>#N/A</v>
      </c>
      <c r="E435" s="64"/>
      <c r="F435" s="99"/>
      <c r="G435" s="99"/>
      <c r="H435" s="102"/>
      <c r="I435" s="102"/>
      <c r="J435" s="99"/>
      <c r="K435" s="99"/>
      <c r="L435" s="99"/>
      <c r="M435" s="99"/>
      <c r="N435" s="99"/>
      <c r="O435" s="96"/>
      <c r="P435" s="96"/>
      <c r="Q435" s="15" t="e">
        <v>#N/A</v>
      </c>
      <c r="R435" s="15" t="e">
        <v>#N/A</v>
      </c>
      <c r="S435" s="15"/>
      <c r="T435" s="100"/>
      <c r="U435" s="15"/>
      <c r="V435" s="15"/>
      <c r="W435" s="15"/>
      <c r="X435" s="96"/>
      <c r="Y435" s="69">
        <f ca="1">Table24[[#This Row],[End Date]]+2-TODAY()</f>
        <v>-45775</v>
      </c>
      <c r="Z435" s="15">
        <f>IF(ISBLANK(Table24[[#This Row],[Roster Received By]]),1,0)</f>
        <v>1</v>
      </c>
      <c r="AA435" s="15">
        <f ca="1">IF(Table24[[#This Row],[Start Date]]&gt;TODAY(),1,)</f>
        <v>0</v>
      </c>
    </row>
    <row r="436" spans="1:27" s="61" customFormat="1" x14ac:dyDescent="0.25">
      <c r="B436" s="96"/>
      <c r="C436" s="97" t="e">
        <v>#N/A</v>
      </c>
      <c r="D436" s="97" t="e">
        <v>#N/A</v>
      </c>
      <c r="E436" s="96"/>
      <c r="F436" s="99"/>
      <c r="G436" s="99"/>
      <c r="H436" s="102"/>
      <c r="I436" s="102"/>
      <c r="J436" s="99"/>
      <c r="K436" s="99"/>
      <c r="L436" s="99"/>
      <c r="M436" s="99"/>
      <c r="N436" s="99"/>
      <c r="O436" s="96"/>
      <c r="P436" s="96"/>
      <c r="Q436" s="15" t="e">
        <v>#N/A</v>
      </c>
      <c r="R436" s="15" t="e">
        <v>#N/A</v>
      </c>
      <c r="S436" s="15"/>
      <c r="T436" s="100"/>
      <c r="U436" s="15"/>
      <c r="V436" s="15"/>
      <c r="W436" s="15"/>
      <c r="X436" s="96"/>
      <c r="Y436" s="69">
        <f ca="1">Table24[[#This Row],[End Date]]+2-TODAY()</f>
        <v>-45775</v>
      </c>
      <c r="Z436" s="15">
        <f>IF(ISBLANK(Table24[[#This Row],[Roster Received By]]),1,0)</f>
        <v>1</v>
      </c>
      <c r="AA436" s="15">
        <f ca="1">IF(Table24[[#This Row],[Start Date]]&gt;TODAY(),1,)</f>
        <v>0</v>
      </c>
    </row>
    <row r="437" spans="1:27" s="61" customFormat="1" x14ac:dyDescent="0.25">
      <c r="B437" s="96"/>
      <c r="C437" s="97" t="e">
        <v>#N/A</v>
      </c>
      <c r="D437" s="97" t="e">
        <v>#N/A</v>
      </c>
      <c r="E437" s="96"/>
      <c r="F437" s="99"/>
      <c r="G437" s="99"/>
      <c r="H437" s="102"/>
      <c r="I437" s="102"/>
      <c r="J437" s="99"/>
      <c r="K437" s="99"/>
      <c r="L437" s="99"/>
      <c r="M437" s="99"/>
      <c r="N437" s="99"/>
      <c r="O437" s="96"/>
      <c r="P437" s="96"/>
      <c r="Q437" s="15" t="e">
        <v>#N/A</v>
      </c>
      <c r="R437" s="15" t="e">
        <v>#N/A</v>
      </c>
      <c r="S437" s="100"/>
      <c r="T437" s="100"/>
      <c r="U437" s="15"/>
      <c r="V437" s="15"/>
      <c r="W437" s="97"/>
      <c r="X437" s="96"/>
      <c r="Y437" s="106">
        <f ca="1">Table24[[#This Row],[End Date]]+2-TODAY()</f>
        <v>-45775</v>
      </c>
      <c r="Z437" s="15">
        <f>IF(ISBLANK(Table24[[#This Row],[Roster Received By]]),1,0)</f>
        <v>1</v>
      </c>
      <c r="AA437" s="97">
        <f ca="1">IF(Table24[[#This Row],[Start Date]]&gt;TODAY(),1,)</f>
        <v>0</v>
      </c>
    </row>
    <row r="438" spans="1:27" s="61" customFormat="1" x14ac:dyDescent="0.25">
      <c r="B438" s="113"/>
      <c r="C438" s="97" t="e">
        <v>#N/A</v>
      </c>
      <c r="D438" s="97" t="e">
        <v>#N/A</v>
      </c>
      <c r="E438" s="96"/>
      <c r="F438" s="66"/>
      <c r="G438" s="99"/>
      <c r="H438" s="99"/>
      <c r="I438" s="98"/>
      <c r="J438" s="98"/>
      <c r="K438" s="98"/>
      <c r="L438" s="98"/>
      <c r="M438" s="98"/>
      <c r="N438" s="98"/>
      <c r="O438" s="96"/>
      <c r="P438" s="96"/>
      <c r="Q438" s="15" t="e">
        <v>#N/A</v>
      </c>
      <c r="R438" s="15" t="e">
        <v>#N/A</v>
      </c>
      <c r="S438" s="15"/>
      <c r="T438" s="100"/>
      <c r="U438" s="15"/>
      <c r="V438" s="15"/>
      <c r="W438" s="97"/>
      <c r="X438" s="96"/>
      <c r="Y438" s="106">
        <f ca="1">Table24[[#This Row],[End Date]]+2-TODAY()</f>
        <v>-45775</v>
      </c>
      <c r="Z438" s="15">
        <f>IF(ISBLANK(Table24[[#This Row],[Roster Received By]]),1,0)</f>
        <v>1</v>
      </c>
      <c r="AA438" s="97">
        <f ca="1">IF(Table24[[#This Row],[Start Date]]&gt;TODAY(),1,)</f>
        <v>0</v>
      </c>
    </row>
    <row r="439" spans="1:27" s="61" customFormat="1" x14ac:dyDescent="0.25">
      <c r="A439" s="96"/>
      <c r="B439" s="113"/>
      <c r="C439" s="97" t="e">
        <v>#N/A</v>
      </c>
      <c r="D439" s="97" t="e">
        <v>#N/A</v>
      </c>
      <c r="E439" s="96"/>
      <c r="F439" s="99"/>
      <c r="G439" s="99"/>
      <c r="H439" s="102"/>
      <c r="I439" s="102"/>
      <c r="J439" s="99"/>
      <c r="K439" s="99"/>
      <c r="L439" s="99"/>
      <c r="M439" s="99"/>
      <c r="N439" s="99"/>
      <c r="O439" s="96"/>
      <c r="P439" s="96"/>
      <c r="Q439" s="15" t="e">
        <v>#N/A</v>
      </c>
      <c r="R439" s="15" t="e">
        <v>#N/A</v>
      </c>
      <c r="S439" s="15"/>
      <c r="T439" s="100"/>
      <c r="U439" s="15"/>
      <c r="V439" s="15"/>
      <c r="W439" s="97"/>
      <c r="X439" s="96"/>
      <c r="Y439" s="106">
        <f ca="1">Table24[[#This Row],[End Date]]+2-TODAY()</f>
        <v>-45775</v>
      </c>
      <c r="Z439" s="15">
        <f>IF(ISBLANK(Table24[[#This Row],[Roster Received By]]),1,0)</f>
        <v>1</v>
      </c>
      <c r="AA439" s="97">
        <f ca="1">IF(Table24[[#This Row],[Start Date]]&gt;TODAY(),1,)</f>
        <v>0</v>
      </c>
    </row>
    <row r="440" spans="1:27" s="61" customFormat="1" x14ac:dyDescent="0.25">
      <c r="B440" s="113"/>
      <c r="C440" s="97" t="e">
        <v>#N/A</v>
      </c>
      <c r="D440" s="97" t="e">
        <v>#N/A</v>
      </c>
      <c r="E440" s="96"/>
      <c r="F440" s="99"/>
      <c r="G440" s="99"/>
      <c r="H440" s="102"/>
      <c r="I440" s="102"/>
      <c r="J440" s="99"/>
      <c r="K440" s="99"/>
      <c r="L440" s="99"/>
      <c r="M440" s="99"/>
      <c r="N440" s="99"/>
      <c r="O440" s="96"/>
      <c r="P440" s="96"/>
      <c r="Q440" s="15" t="e">
        <v>#N/A</v>
      </c>
      <c r="R440" s="15" t="e">
        <v>#N/A</v>
      </c>
      <c r="S440" s="100"/>
      <c r="T440" s="100"/>
      <c r="U440" s="15"/>
      <c r="V440" s="15"/>
      <c r="W440" s="97"/>
      <c r="X440" s="96"/>
      <c r="Y440" s="106">
        <f ca="1">Table24[[#This Row],[End Date]]+2-TODAY()</f>
        <v>-45775</v>
      </c>
      <c r="Z440" s="15">
        <f>IF(ISBLANK(Table24[[#This Row],[Roster Received By]]),1,0)</f>
        <v>1</v>
      </c>
      <c r="AA440" s="97">
        <f ca="1">IF(Table24[[#This Row],[Start Date]]&gt;TODAY(),1,)</f>
        <v>0</v>
      </c>
    </row>
    <row r="441" spans="1:27" s="61" customFormat="1" x14ac:dyDescent="0.25">
      <c r="B441" s="96"/>
      <c r="C441" s="97" t="e">
        <v>#N/A</v>
      </c>
      <c r="D441" s="97" t="e">
        <v>#N/A</v>
      </c>
      <c r="E441" s="96"/>
      <c r="F441" s="99"/>
      <c r="G441" s="99"/>
      <c r="H441" s="99"/>
      <c r="I441" s="98"/>
      <c r="J441" s="98"/>
      <c r="K441" s="98"/>
      <c r="L441" s="98"/>
      <c r="M441" s="98"/>
      <c r="N441" s="98"/>
      <c r="O441" s="96"/>
      <c r="P441" s="96"/>
      <c r="Q441" s="15" t="e">
        <v>#N/A</v>
      </c>
      <c r="R441" s="15" t="e">
        <v>#N/A</v>
      </c>
      <c r="S441" s="15"/>
      <c r="T441" s="100"/>
      <c r="U441" s="15"/>
      <c r="V441" s="15"/>
      <c r="W441" s="97"/>
      <c r="X441" s="96"/>
      <c r="Y441" s="106">
        <f ca="1">Table24[[#This Row],[End Date]]+2-TODAY()</f>
        <v>-45775</v>
      </c>
      <c r="Z441" s="15">
        <f>IF(ISBLANK(Table24[[#This Row],[Roster Received By]]),1,0)</f>
        <v>1</v>
      </c>
      <c r="AA441" s="97">
        <f ca="1">IF(Table24[[#This Row],[Start Date]]&gt;TODAY(),1,)</f>
        <v>0</v>
      </c>
    </row>
    <row r="442" spans="1:27" s="61" customFormat="1" x14ac:dyDescent="0.25">
      <c r="B442" s="113"/>
      <c r="C442" s="97" t="e">
        <v>#N/A</v>
      </c>
      <c r="D442" s="97" t="e">
        <v>#N/A</v>
      </c>
      <c r="E442" s="96"/>
      <c r="F442" s="99"/>
      <c r="G442" s="99"/>
      <c r="H442" s="99"/>
      <c r="I442" s="98"/>
      <c r="J442" s="98"/>
      <c r="K442" s="98"/>
      <c r="L442" s="98"/>
      <c r="M442" s="98"/>
      <c r="N442" s="98"/>
      <c r="O442" s="96"/>
      <c r="P442" s="96"/>
      <c r="Q442" s="15" t="e">
        <v>#N/A</v>
      </c>
      <c r="R442" s="15" t="e">
        <v>#N/A</v>
      </c>
      <c r="S442" s="15"/>
      <c r="T442" s="100"/>
      <c r="U442" s="15"/>
      <c r="V442" s="15"/>
      <c r="W442" s="97"/>
      <c r="X442" s="96"/>
      <c r="Y442" s="106">
        <f ca="1">Table24[[#This Row],[End Date]]+2-TODAY()</f>
        <v>-45775</v>
      </c>
      <c r="Z442" s="15">
        <f>IF(ISBLANK(Table24[[#This Row],[Roster Received By]]),1,0)</f>
        <v>1</v>
      </c>
      <c r="AA442" s="97">
        <f ca="1">IF(Table24[[#This Row],[Start Date]]&gt;TODAY(),1,)</f>
        <v>0</v>
      </c>
    </row>
    <row r="443" spans="1:27" s="61" customFormat="1" x14ac:dyDescent="0.25">
      <c r="B443" s="96"/>
      <c r="C443" s="97" t="e">
        <v>#N/A</v>
      </c>
      <c r="D443" s="97" t="e">
        <v>#N/A</v>
      </c>
      <c r="E443" s="96"/>
      <c r="F443" s="99"/>
      <c r="G443" s="99"/>
      <c r="H443" s="102"/>
      <c r="I443" s="102"/>
      <c r="J443" s="99"/>
      <c r="K443" s="99"/>
      <c r="L443" s="99"/>
      <c r="M443" s="99"/>
      <c r="N443" s="99"/>
      <c r="O443" s="96"/>
      <c r="P443" s="96"/>
      <c r="Q443" s="15" t="e">
        <v>#N/A</v>
      </c>
      <c r="R443" s="15" t="e">
        <v>#N/A</v>
      </c>
      <c r="S443" s="15"/>
      <c r="T443" s="100"/>
      <c r="U443" s="15"/>
      <c r="V443" s="15"/>
      <c r="W443" s="15"/>
      <c r="X443" s="96"/>
      <c r="Y443" s="69">
        <f ca="1">Table24[[#This Row],[End Date]]+2-TODAY()</f>
        <v>-45775</v>
      </c>
      <c r="Z443" s="15">
        <f>IF(ISBLANK(Table24[[#This Row],[Roster Received By]]),1,0)</f>
        <v>1</v>
      </c>
      <c r="AA443" s="15">
        <f ca="1">IF(Table24[[#This Row],[Start Date]]&gt;TODAY(),1,)</f>
        <v>0</v>
      </c>
    </row>
    <row r="444" spans="1:27" s="61" customFormat="1" x14ac:dyDescent="0.25">
      <c r="A444" s="96"/>
      <c r="B444" s="113"/>
      <c r="C444" s="97" t="e">
        <v>#N/A</v>
      </c>
      <c r="D444" s="97" t="e">
        <v>#N/A</v>
      </c>
      <c r="E444" s="96"/>
      <c r="F444" s="66"/>
      <c r="G444" s="66"/>
      <c r="H444" s="66"/>
      <c r="I444" s="98"/>
      <c r="J444" s="98"/>
      <c r="K444" s="98"/>
      <c r="L444" s="98"/>
      <c r="M444" s="98"/>
      <c r="N444" s="98"/>
      <c r="O444" s="96"/>
      <c r="P444" s="96"/>
      <c r="Q444" s="15" t="e">
        <v>#N/A</v>
      </c>
      <c r="R444" s="15" t="e">
        <v>#N/A</v>
      </c>
      <c r="S444" s="15"/>
      <c r="T444" s="100"/>
      <c r="U444" s="15"/>
      <c r="V444" s="15"/>
      <c r="W444" s="97"/>
      <c r="X444" s="96"/>
      <c r="Y444" s="106">
        <f ca="1">Table24[[#This Row],[End Date]]+2-TODAY()</f>
        <v>-45775</v>
      </c>
      <c r="Z444" s="15">
        <f>IF(ISBLANK(Table24[[#This Row],[Roster Received By]]),1,0)</f>
        <v>1</v>
      </c>
      <c r="AA444" s="97">
        <f ca="1">IF(Table24[[#This Row],[Start Date]]&gt;TODAY(),1,)</f>
        <v>0</v>
      </c>
    </row>
    <row r="445" spans="1:27" s="61" customFormat="1" x14ac:dyDescent="0.25">
      <c r="B445" s="96"/>
      <c r="C445" s="97" t="e">
        <v>#N/A</v>
      </c>
      <c r="D445" s="97" t="e">
        <v>#N/A</v>
      </c>
      <c r="E445" s="96"/>
      <c r="F445" s="99"/>
      <c r="G445" s="99"/>
      <c r="H445" s="99"/>
      <c r="I445" s="98"/>
      <c r="J445" s="98"/>
      <c r="K445" s="98"/>
      <c r="L445" s="98"/>
      <c r="M445" s="98"/>
      <c r="N445" s="98"/>
      <c r="O445" s="96"/>
      <c r="P445" s="96"/>
      <c r="Q445" s="15" t="e">
        <v>#N/A</v>
      </c>
      <c r="R445" s="15" t="e">
        <v>#N/A</v>
      </c>
      <c r="S445" s="15"/>
      <c r="T445" s="100"/>
      <c r="U445" s="15"/>
      <c r="V445" s="15"/>
      <c r="W445" s="97"/>
      <c r="X445" s="96"/>
      <c r="Y445" s="106">
        <f ca="1">Table24[[#This Row],[End Date]]+2-TODAY()</f>
        <v>-45775</v>
      </c>
      <c r="Z445" s="15">
        <f>IF(ISBLANK(Table24[[#This Row],[Roster Received By]]),1,0)</f>
        <v>1</v>
      </c>
      <c r="AA445" s="97">
        <f ca="1">IF(Table24[[#This Row],[Start Date]]&gt;TODAY(),1,)</f>
        <v>0</v>
      </c>
    </row>
    <row r="446" spans="1:27" s="61" customFormat="1" x14ac:dyDescent="0.25">
      <c r="B446" s="96"/>
      <c r="C446" s="97" t="e">
        <v>#N/A</v>
      </c>
      <c r="D446" s="97" t="e">
        <v>#N/A</v>
      </c>
      <c r="E446" s="96"/>
      <c r="F446" s="99"/>
      <c r="G446" s="99"/>
      <c r="H446" s="99"/>
      <c r="I446" s="98"/>
      <c r="J446" s="98"/>
      <c r="K446" s="98"/>
      <c r="L446" s="98"/>
      <c r="M446" s="98"/>
      <c r="N446" s="98"/>
      <c r="O446" s="96"/>
      <c r="P446" s="96"/>
      <c r="Q446" s="15" t="e">
        <v>#N/A</v>
      </c>
      <c r="R446" s="15" t="e">
        <v>#N/A</v>
      </c>
      <c r="S446" s="15"/>
      <c r="T446" s="100"/>
      <c r="U446" s="15"/>
      <c r="V446" s="15"/>
      <c r="W446" s="97"/>
      <c r="X446" s="96"/>
      <c r="Y446" s="106">
        <f ca="1">Table24[[#This Row],[End Date]]+2-TODAY()</f>
        <v>-45775</v>
      </c>
      <c r="Z446" s="15">
        <f>IF(ISBLANK(Table24[[#This Row],[Roster Received By]]),1,0)</f>
        <v>1</v>
      </c>
      <c r="AA446" s="97">
        <f ca="1">IF(Table24[[#This Row],[Start Date]]&gt;TODAY(),1,)</f>
        <v>0</v>
      </c>
    </row>
    <row r="447" spans="1:27" s="61" customFormat="1" x14ac:dyDescent="0.25">
      <c r="B447" s="96"/>
      <c r="C447" s="97" t="e">
        <v>#N/A</v>
      </c>
      <c r="D447" s="97" t="e">
        <v>#N/A</v>
      </c>
      <c r="E447" s="96"/>
      <c r="F447" s="99"/>
      <c r="G447" s="99"/>
      <c r="H447" s="99"/>
      <c r="I447" s="98"/>
      <c r="J447" s="98"/>
      <c r="K447" s="98"/>
      <c r="L447" s="98"/>
      <c r="M447" s="98"/>
      <c r="N447" s="98"/>
      <c r="O447" s="96"/>
      <c r="P447" s="96"/>
      <c r="Q447" s="15" t="e">
        <v>#N/A</v>
      </c>
      <c r="R447" s="15" t="e">
        <v>#N/A</v>
      </c>
      <c r="S447" s="15"/>
      <c r="T447" s="100"/>
      <c r="U447" s="15"/>
      <c r="V447" s="15"/>
      <c r="W447" s="97"/>
      <c r="X447" s="96"/>
      <c r="Y447" s="106">
        <f ca="1">Table24[[#This Row],[End Date]]+2-TODAY()</f>
        <v>-45775</v>
      </c>
      <c r="Z447" s="15">
        <f>IF(ISBLANK(Table24[[#This Row],[Roster Received By]]),1,0)</f>
        <v>1</v>
      </c>
      <c r="AA447" s="97">
        <f ca="1">IF(Table24[[#This Row],[Start Date]]&gt;TODAY(),1,)</f>
        <v>0</v>
      </c>
    </row>
    <row r="448" spans="1:27" s="61" customFormat="1" x14ac:dyDescent="0.25">
      <c r="A448" s="139"/>
      <c r="B448" s="96"/>
      <c r="C448" s="97" t="e">
        <v>#N/A</v>
      </c>
      <c r="D448" s="97" t="e">
        <v>#N/A</v>
      </c>
      <c r="E448" s="96"/>
      <c r="F448" s="99"/>
      <c r="G448" s="99"/>
      <c r="H448" s="102"/>
      <c r="I448" s="102"/>
      <c r="J448" s="99"/>
      <c r="K448" s="99"/>
      <c r="L448" s="99"/>
      <c r="M448" s="99"/>
      <c r="N448" s="99"/>
      <c r="O448" s="96"/>
      <c r="P448" s="96"/>
      <c r="Q448" s="15" t="e">
        <v>#N/A</v>
      </c>
      <c r="R448" s="15" t="e">
        <v>#N/A</v>
      </c>
      <c r="S448" s="100"/>
      <c r="T448" s="100"/>
      <c r="U448" s="15"/>
      <c r="V448" s="15"/>
      <c r="W448" s="97"/>
      <c r="X448" s="96"/>
      <c r="Y448" s="106">
        <f ca="1">Table24[[#This Row],[End Date]]+2-TODAY()</f>
        <v>-45775</v>
      </c>
      <c r="Z448" s="15">
        <f>IF(ISBLANK(Table24[[#This Row],[Roster Received By]]),1,0)</f>
        <v>1</v>
      </c>
      <c r="AA448" s="97">
        <f ca="1">IF(Table24[[#This Row],[Start Date]]&gt;TODAY(),1,)</f>
        <v>0</v>
      </c>
    </row>
    <row r="449" spans="1:27" s="61" customFormat="1" x14ac:dyDescent="0.25">
      <c r="B449" s="96"/>
      <c r="C449" s="97" t="e">
        <v>#N/A</v>
      </c>
      <c r="D449" s="97" t="e">
        <v>#N/A</v>
      </c>
      <c r="E449" s="96"/>
      <c r="F449" s="99"/>
      <c r="G449" s="99"/>
      <c r="H449" s="99"/>
      <c r="I449" s="98"/>
      <c r="J449" s="98"/>
      <c r="K449" s="98"/>
      <c r="L449" s="98"/>
      <c r="M449" s="98"/>
      <c r="N449" s="98"/>
      <c r="O449" s="96"/>
      <c r="P449" s="96"/>
      <c r="Q449" s="15" t="e">
        <v>#N/A</v>
      </c>
      <c r="R449" s="15" t="e">
        <v>#N/A</v>
      </c>
      <c r="S449" s="15"/>
      <c r="T449" s="100"/>
      <c r="U449" s="15"/>
      <c r="V449" s="15"/>
      <c r="W449" s="97"/>
      <c r="X449" s="96"/>
      <c r="Y449" s="106">
        <f ca="1">Table24[[#This Row],[End Date]]+2-TODAY()</f>
        <v>-45775</v>
      </c>
      <c r="Z449" s="15">
        <f>IF(ISBLANK(Table24[[#This Row],[Roster Received By]]),1,0)</f>
        <v>1</v>
      </c>
      <c r="AA449" s="97">
        <f ca="1">IF(Table24[[#This Row],[Start Date]]&gt;TODAY(),1,)</f>
        <v>0</v>
      </c>
    </row>
    <row r="450" spans="1:27" s="61" customFormat="1" x14ac:dyDescent="0.25">
      <c r="A450" s="96"/>
      <c r="B450" s="96"/>
      <c r="C450" s="97" t="e">
        <v>#N/A</v>
      </c>
      <c r="D450" s="97" t="e">
        <v>#N/A</v>
      </c>
      <c r="E450" s="96"/>
      <c r="F450" s="99"/>
      <c r="G450" s="99"/>
      <c r="H450" s="99"/>
      <c r="I450" s="98"/>
      <c r="J450" s="98"/>
      <c r="K450" s="98"/>
      <c r="L450" s="98"/>
      <c r="M450" s="98"/>
      <c r="N450" s="98"/>
      <c r="O450" s="96"/>
      <c r="P450" s="96"/>
      <c r="Q450" s="15" t="e">
        <v>#N/A</v>
      </c>
      <c r="R450" s="15" t="e">
        <v>#N/A</v>
      </c>
      <c r="S450" s="15"/>
      <c r="T450" s="100"/>
      <c r="U450" s="15"/>
      <c r="V450" s="15"/>
      <c r="W450" s="97"/>
      <c r="X450" s="96"/>
      <c r="Y450" s="106">
        <f ca="1">Table24[[#This Row],[End Date]]+2-TODAY()</f>
        <v>-45775</v>
      </c>
      <c r="Z450" s="15">
        <f>IF(ISBLANK(Table24[[#This Row],[Roster Received By]]),1,0)</f>
        <v>1</v>
      </c>
      <c r="AA450" s="97">
        <f ca="1">IF(Table24[[#This Row],[Start Date]]&gt;TODAY(),1,)</f>
        <v>0</v>
      </c>
    </row>
    <row r="451" spans="1:27" s="61" customFormat="1" x14ac:dyDescent="0.25">
      <c r="B451" s="96"/>
      <c r="C451" s="97" t="e">
        <v>#N/A</v>
      </c>
      <c r="D451" s="97" t="e">
        <v>#N/A</v>
      </c>
      <c r="E451" s="96"/>
      <c r="F451" s="99"/>
      <c r="G451" s="99"/>
      <c r="H451" s="102"/>
      <c r="I451" s="102"/>
      <c r="J451" s="99"/>
      <c r="K451" s="99"/>
      <c r="L451" s="99"/>
      <c r="M451" s="99"/>
      <c r="N451" s="99"/>
      <c r="O451" s="96"/>
      <c r="P451" s="96"/>
      <c r="Q451" s="15" t="e">
        <v>#N/A</v>
      </c>
      <c r="R451" s="15" t="e">
        <v>#N/A</v>
      </c>
      <c r="S451" s="100"/>
      <c r="T451" s="100"/>
      <c r="U451" s="15"/>
      <c r="V451" s="15"/>
      <c r="W451" s="97"/>
      <c r="X451" s="96"/>
      <c r="Y451" s="106">
        <f ca="1">Table24[[#This Row],[End Date]]+2-TODAY()</f>
        <v>-45775</v>
      </c>
      <c r="Z451" s="15">
        <f>IF(ISBLANK(Table24[[#This Row],[Roster Received By]]),1,0)</f>
        <v>1</v>
      </c>
      <c r="AA451" s="97">
        <f ca="1">IF(Table24[[#This Row],[Start Date]]&gt;TODAY(),1,)</f>
        <v>0</v>
      </c>
    </row>
    <row r="452" spans="1:27" s="61" customFormat="1" x14ac:dyDescent="0.25">
      <c r="B452" s="96"/>
      <c r="C452" s="97" t="e">
        <v>#N/A</v>
      </c>
      <c r="D452" s="97" t="e">
        <v>#N/A</v>
      </c>
      <c r="E452" s="96"/>
      <c r="F452" s="99"/>
      <c r="G452" s="99"/>
      <c r="H452" s="102"/>
      <c r="I452" s="102"/>
      <c r="J452" s="99"/>
      <c r="K452" s="99"/>
      <c r="L452" s="99"/>
      <c r="M452" s="99"/>
      <c r="N452" s="99"/>
      <c r="O452" s="96"/>
      <c r="P452" s="96"/>
      <c r="Q452" s="15" t="e">
        <v>#N/A</v>
      </c>
      <c r="R452" s="15" t="e">
        <v>#N/A</v>
      </c>
      <c r="S452" s="15"/>
      <c r="T452" s="100"/>
      <c r="U452" s="15"/>
      <c r="V452" s="15"/>
      <c r="W452" s="97"/>
      <c r="X452" s="96"/>
      <c r="Y452" s="106">
        <f ca="1">Table24[[#This Row],[End Date]]+2-TODAY()</f>
        <v>-45775</v>
      </c>
      <c r="Z452" s="15">
        <f>IF(ISBLANK(Table24[[#This Row],[Roster Received By]]),1,0)</f>
        <v>1</v>
      </c>
      <c r="AA452" s="97">
        <f ca="1">IF(Table24[[#This Row],[Start Date]]&gt;TODAY(),1,)</f>
        <v>0</v>
      </c>
    </row>
    <row r="453" spans="1:27" s="61" customFormat="1" x14ac:dyDescent="0.25">
      <c r="B453" s="96"/>
      <c r="C453" s="97" t="e">
        <v>#N/A</v>
      </c>
      <c r="D453" s="97" t="e">
        <v>#N/A</v>
      </c>
      <c r="E453" s="96"/>
      <c r="F453" s="99"/>
      <c r="G453" s="99"/>
      <c r="H453" s="102"/>
      <c r="I453" s="102"/>
      <c r="J453" s="99"/>
      <c r="K453" s="99"/>
      <c r="L453" s="99"/>
      <c r="M453" s="99"/>
      <c r="N453" s="99"/>
      <c r="O453" s="96"/>
      <c r="P453" s="96"/>
      <c r="Q453" s="15" t="e">
        <v>#N/A</v>
      </c>
      <c r="R453" s="15" t="e">
        <v>#N/A</v>
      </c>
      <c r="S453" s="100"/>
      <c r="T453" s="100"/>
      <c r="U453" s="15"/>
      <c r="V453" s="15"/>
      <c r="W453" s="97"/>
      <c r="X453" s="96"/>
      <c r="Y453" s="106">
        <f ca="1">Table24[[#This Row],[End Date]]+2-TODAY()</f>
        <v>-45775</v>
      </c>
      <c r="Z453" s="15">
        <f>IF(ISBLANK(Table24[[#This Row],[Roster Received By]]),1,0)</f>
        <v>1</v>
      </c>
      <c r="AA453" s="97">
        <f ca="1">IF(Table24[[#This Row],[Start Date]]&gt;TODAY(),1,)</f>
        <v>0</v>
      </c>
    </row>
    <row r="454" spans="1:27" s="61" customFormat="1" x14ac:dyDescent="0.25">
      <c r="B454" s="96"/>
      <c r="C454" s="97" t="e">
        <v>#N/A</v>
      </c>
      <c r="D454" s="97" t="e">
        <v>#N/A</v>
      </c>
      <c r="E454" s="96"/>
      <c r="F454" s="99"/>
      <c r="G454" s="99"/>
      <c r="H454" s="102"/>
      <c r="I454" s="102"/>
      <c r="J454" s="99"/>
      <c r="K454" s="99"/>
      <c r="L454" s="99"/>
      <c r="M454" s="99"/>
      <c r="N454" s="99"/>
      <c r="O454" s="96"/>
      <c r="P454" s="96"/>
      <c r="Q454" s="15" t="e">
        <v>#N/A</v>
      </c>
      <c r="R454" s="15" t="e">
        <v>#N/A</v>
      </c>
      <c r="S454" s="15"/>
      <c r="T454" s="100"/>
      <c r="U454" s="15"/>
      <c r="V454" s="15"/>
      <c r="W454" s="15"/>
      <c r="X454" s="96"/>
      <c r="Y454" s="69">
        <f ca="1">Table24[[#This Row],[End Date]]+2-TODAY()</f>
        <v>-45775</v>
      </c>
      <c r="Z454" s="15">
        <f>IF(ISBLANK(Table24[[#This Row],[Roster Received By]]),1,0)</f>
        <v>1</v>
      </c>
      <c r="AA454" s="15">
        <f ca="1">IF(Table24[[#This Row],[Start Date]]&gt;TODAY(),1,)</f>
        <v>0</v>
      </c>
    </row>
    <row r="455" spans="1:27" s="61" customFormat="1" x14ac:dyDescent="0.25">
      <c r="B455" s="96"/>
      <c r="C455" s="97" t="e">
        <v>#N/A</v>
      </c>
      <c r="D455" s="97" t="e">
        <v>#N/A</v>
      </c>
      <c r="E455" s="96"/>
      <c r="F455" s="99"/>
      <c r="G455" s="99"/>
      <c r="H455" s="102"/>
      <c r="I455" s="102"/>
      <c r="J455" s="99"/>
      <c r="K455" s="99"/>
      <c r="L455" s="99"/>
      <c r="M455" s="99"/>
      <c r="N455" s="99"/>
      <c r="O455" s="96"/>
      <c r="P455" s="96"/>
      <c r="Q455" s="15" t="e">
        <v>#N/A</v>
      </c>
      <c r="R455" s="15" t="e">
        <v>#N/A</v>
      </c>
      <c r="S455" s="15"/>
      <c r="T455" s="100"/>
      <c r="U455" s="15"/>
      <c r="V455" s="15"/>
      <c r="W455" s="97"/>
      <c r="X455" s="96"/>
      <c r="Y455" s="106">
        <f ca="1">Table24[[#This Row],[End Date]]+2-TODAY()</f>
        <v>-45775</v>
      </c>
      <c r="Z455" s="15">
        <f>IF(ISBLANK(Table24[[#This Row],[Roster Received By]]),1,0)</f>
        <v>1</v>
      </c>
      <c r="AA455" s="97">
        <f ca="1">IF(Table24[[#This Row],[Start Date]]&gt;TODAY(),1,)</f>
        <v>0</v>
      </c>
    </row>
    <row r="456" spans="1:27" s="61" customFormat="1" x14ac:dyDescent="0.25">
      <c r="B456" s="96"/>
      <c r="C456" s="97" t="e">
        <v>#N/A</v>
      </c>
      <c r="D456" s="97" t="e">
        <v>#N/A</v>
      </c>
      <c r="E456" s="64"/>
      <c r="F456" s="99"/>
      <c r="G456" s="99"/>
      <c r="H456" s="102"/>
      <c r="I456" s="102"/>
      <c r="J456" s="99"/>
      <c r="K456" s="99"/>
      <c r="L456" s="99"/>
      <c r="M456" s="99"/>
      <c r="N456" s="99"/>
      <c r="O456" s="96"/>
      <c r="P456" s="96"/>
      <c r="Q456" s="15" t="e">
        <v>#N/A</v>
      </c>
      <c r="R456" s="15" t="e">
        <v>#N/A</v>
      </c>
      <c r="S456" s="15"/>
      <c r="T456" s="100"/>
      <c r="U456" s="15"/>
      <c r="V456" s="15"/>
      <c r="W456" s="97"/>
      <c r="X456" s="96"/>
      <c r="Y456" s="106">
        <f ca="1">Table24[[#This Row],[End Date]]+2-TODAY()</f>
        <v>-45775</v>
      </c>
      <c r="Z456" s="15">
        <f>IF(ISBLANK(Table24[[#This Row],[Roster Received By]]),1,0)</f>
        <v>1</v>
      </c>
      <c r="AA456" s="97">
        <f ca="1">IF(Table24[[#This Row],[Start Date]]&gt;TODAY(),1,)</f>
        <v>0</v>
      </c>
    </row>
    <row r="457" spans="1:27" s="61" customFormat="1" x14ac:dyDescent="0.25">
      <c r="B457" s="96"/>
      <c r="C457" s="97" t="e">
        <v>#N/A</v>
      </c>
      <c r="D457" s="97" t="e">
        <v>#N/A</v>
      </c>
      <c r="E457" s="96"/>
      <c r="F457" s="99"/>
      <c r="G457" s="99"/>
      <c r="H457" s="102"/>
      <c r="I457" s="102"/>
      <c r="J457" s="99"/>
      <c r="K457" s="99"/>
      <c r="L457" s="99"/>
      <c r="M457" s="99"/>
      <c r="N457" s="99"/>
      <c r="O457" s="96"/>
      <c r="P457" s="96"/>
      <c r="Q457" s="15" t="e">
        <v>#N/A</v>
      </c>
      <c r="R457" s="15" t="e">
        <v>#N/A</v>
      </c>
      <c r="S457" s="100"/>
      <c r="T457" s="100"/>
      <c r="U457" s="15"/>
      <c r="V457" s="15"/>
      <c r="W457" s="97"/>
      <c r="X457" s="96"/>
      <c r="Y457" s="106">
        <f ca="1">Table24[[#This Row],[End Date]]+2-TODAY()</f>
        <v>-45775</v>
      </c>
      <c r="Z457" s="15">
        <f>IF(ISBLANK(Table24[[#This Row],[Roster Received By]]),1,0)</f>
        <v>1</v>
      </c>
      <c r="AA457" s="97">
        <f ca="1">IF(Table24[[#This Row],[Start Date]]&gt;TODAY(),1,)</f>
        <v>0</v>
      </c>
    </row>
    <row r="458" spans="1:27" s="61" customFormat="1" ht="15.75" thickBot="1" x14ac:dyDescent="0.3">
      <c r="A458" s="140"/>
      <c r="B458" s="140"/>
      <c r="C458" s="141" t="e">
        <v>#N/A</v>
      </c>
      <c r="D458" s="141" t="e">
        <v>#N/A</v>
      </c>
      <c r="E458" s="96"/>
      <c r="F458" s="99"/>
      <c r="G458" s="99"/>
      <c r="H458" s="102"/>
      <c r="I458" s="102"/>
      <c r="J458" s="142"/>
      <c r="K458" s="142"/>
      <c r="L458" s="142"/>
      <c r="M458" s="142"/>
      <c r="N458" s="142"/>
      <c r="O458" s="96"/>
      <c r="P458" s="96"/>
      <c r="Q458" s="15" t="e">
        <v>#N/A</v>
      </c>
      <c r="R458" s="15" t="e">
        <v>#N/A</v>
      </c>
      <c r="S458" s="143"/>
      <c r="T458" s="100"/>
      <c r="U458" s="15"/>
      <c r="V458" s="15"/>
      <c r="W458" s="15"/>
      <c r="X458" s="96"/>
      <c r="Y458" s="69">
        <f ca="1">Table24[[#This Row],[End Date]]+2-TODAY()</f>
        <v>-45775</v>
      </c>
      <c r="Z458" s="15">
        <f>IF(ISBLANK(Table24[[#This Row],[Roster Received By]]),1,0)</f>
        <v>1</v>
      </c>
      <c r="AA458" s="15">
        <f ca="1">IF(Table24[[#This Row],[Start Date]]&gt;TODAY(),1,)</f>
        <v>0</v>
      </c>
    </row>
    <row r="459" spans="1:27" ht="15.75" thickTop="1" x14ac:dyDescent="0.25">
      <c r="A459" s="165" t="s">
        <v>62</v>
      </c>
      <c r="B459" s="165">
        <f>SUBTOTAL(103,Table24[Course Title])</f>
        <v>161</v>
      </c>
      <c r="C459" s="165"/>
      <c r="D459" s="165"/>
      <c r="E459" s="165"/>
      <c r="F459" s="166"/>
      <c r="G459" s="166"/>
      <c r="H459" s="165"/>
      <c r="I459" s="165"/>
      <c r="J459" s="165"/>
      <c r="K459" s="165"/>
      <c r="L459" s="165"/>
      <c r="M459" s="165"/>
      <c r="N459" s="165"/>
      <c r="O459" s="165"/>
      <c r="P459" s="165"/>
      <c r="Q459" s="167" t="e">
        <f>SUBTOTAL(109,Q4:Q458)</f>
        <v>#N/A</v>
      </c>
      <c r="R459" s="167" t="e">
        <f>SUBTOTAL(109,Table24[Course Length (Days)])</f>
        <v>#N/A</v>
      </c>
      <c r="S459" s="167">
        <f>SUBTOTAL(109,S4:S458)</f>
        <v>0</v>
      </c>
      <c r="T459" s="167">
        <f>SUBTOTAL(109,T4:T458)</f>
        <v>0</v>
      </c>
      <c r="U459" s="167">
        <f>SUBTOTAL(109,U4:U458)</f>
        <v>0</v>
      </c>
      <c r="V459" s="167">
        <f>SUBTOTAL(109,V4:V458)</f>
        <v>0</v>
      </c>
      <c r="W459" s="167">
        <f>SUBTOTAL(109,W4:W458)</f>
        <v>0</v>
      </c>
      <c r="X459" s="165">
        <f>SUBTOTAL(103,Table24[Roster Received By])</f>
        <v>0</v>
      </c>
      <c r="Y459" s="168"/>
      <c r="Z459" s="165"/>
      <c r="AA459" s="165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07:D181 C4:D101" name="CIN CDP_1"/>
    <protectedRange algorithmName="SHA-512" hashValue="n6K25g9uzAcpntxjqTQaPVdKX1eij75CLB1gBuUNBybVL5B3VaxVW/Tcen54TXijIel0fCN9KO3xZiLZCJMSZw==" saltValue="89UdTK4UUElaUoKBccfOYw==" spinCount="100000" sqref="C102:D103" name="CIN CDP_1_1"/>
    <protectedRange algorithmName="SHA-512" hashValue="n6K25g9uzAcpntxjqTQaPVdKX1eij75CLB1gBuUNBybVL5B3VaxVW/Tcen54TXijIel0fCN9KO3xZiLZCJMSZw==" saltValue="89UdTK4UUElaUoKBccfOYw==" spinCount="100000" sqref="C104:D105" name="CIN CDP_2"/>
    <protectedRange algorithmName="SHA-512" hashValue="n6K25g9uzAcpntxjqTQaPVdKX1eij75CLB1gBuUNBybVL5B3VaxVW/Tcen54TXijIel0fCN9KO3xZiLZCJMSZw==" saltValue="89UdTK4UUElaUoKBccfOYw==" spinCount="100000" sqref="C106:D106" name="CIN CDP_3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9:A42 J24:N30 F27:G30 E31:G31 F32:G32 E33:G34 F35:G35 F36:H36 J37:N37 F37:F38 E39:F39 J39:N39 E40:H40 E43 E44:F48 A44:A55 F49:F52 E53:F53 E54 A57:A59 J63:N63 A64 A79:A85 A96 E107:G107 E108:E116 A110 A120 A130:A134 A143:A145 J147:N147 A147:A153 I149:N149 J152:N152 A155:A171 B155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029" priority="297">
      <formula>$T19="McQueen, Jennifer"</formula>
    </cfRule>
    <cfRule type="expression" dxfId="1028" priority="296">
      <formula>$T19="Jenne, Richard"</formula>
    </cfRule>
    <cfRule type="expression" dxfId="1027" priority="295">
      <formula>$T19="Benzick, Sue"</formula>
    </cfRule>
  </conditionalFormatting>
  <conditionalFormatting sqref="A136:A141 E150:E153">
    <cfRule type="expression" dxfId="1026" priority="119">
      <formula>$T136="Jenne, Richard"</formula>
    </cfRule>
    <cfRule type="expression" dxfId="1025" priority="120">
      <formula>$T136="McQueen, Jennifer"</formula>
    </cfRule>
    <cfRule type="expression" dxfId="1024" priority="118">
      <formula>$T136="Benzick, Sue"</formula>
    </cfRule>
  </conditionalFormatting>
  <conditionalFormatting sqref="A182:B182">
    <cfRule type="expression" dxfId="1023" priority="138">
      <formula>$T182="McQueen, Jennifer"</formula>
    </cfRule>
    <cfRule type="expression" dxfId="1022" priority="137">
      <formula>$T182="Jenne, Richard"</formula>
    </cfRule>
    <cfRule type="expression" dxfId="1021" priority="136">
      <formula>$T182="Benzick, Sue"</formula>
    </cfRule>
  </conditionalFormatting>
  <conditionalFormatting sqref="E117:G117 E118:E126 E199:G199 H219:I219 H220 H221:I226 I234 H235:I236 H239:I245 H255:I256 H258:I258 H274:I274 H275 H276:I280 H288:I288">
    <cfRule type="expression" dxfId="1020" priority="270">
      <formula>#REF!="McQueen, Jennifer"</formula>
    </cfRule>
    <cfRule type="expression" dxfId="1019" priority="269">
      <formula>#REF!="Jenne, Richard"</formula>
    </cfRule>
    <cfRule type="expression" dxfId="1018" priority="268">
      <formula>#REF!="Benzick, Sue"</formula>
    </cfRule>
  </conditionalFormatting>
  <conditionalFormatting sqref="E213:G217">
    <cfRule type="expression" dxfId="1017" priority="247">
      <formula>#REF!="Benzick, Sue"</formula>
    </cfRule>
    <cfRule type="expression" dxfId="1016" priority="248">
      <formula>#REF!="Jenne, Richard"</formula>
    </cfRule>
    <cfRule type="expression" dxfId="1015" priority="249">
      <formula>#REF!="McQueen, Jennifer"</formula>
    </cfRule>
  </conditionalFormatting>
  <conditionalFormatting sqref="E445:G445 E458:G458">
    <cfRule type="expression" dxfId="1014" priority="237">
      <formula>#REF!="McQueen, Jennifer"</formula>
    </cfRule>
    <cfRule type="expression" dxfId="1013" priority="235">
      <formula>#REF!="Benzick, Sue"</formula>
    </cfRule>
    <cfRule type="expression" dxfId="1012" priority="236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011" priority="253">
      <formula>#REF!="Benzick, Sue"</formula>
    </cfRule>
    <cfRule type="expression" dxfId="1010" priority="254">
      <formula>#REF!="Jenne, Richard"</formula>
    </cfRule>
    <cfRule type="expression" dxfId="1009" priority="255">
      <formula>#REF!="McQueen, Jennifer"</formula>
    </cfRule>
  </conditionalFormatting>
  <conditionalFormatting sqref="E218:H218">
    <cfRule type="expression" dxfId="1008" priority="250">
      <formula>#REF!="Benzick, Sue"</formula>
    </cfRule>
    <cfRule type="expression" dxfId="1007" priority="251">
      <formula>#REF!="Jenne, Richard"</formula>
    </cfRule>
    <cfRule type="expression" dxfId="1006" priority="252">
      <formula>#REF!="McQueen, Jennifer"</formula>
    </cfRule>
  </conditionalFormatting>
  <conditionalFormatting sqref="F98">
    <cfRule type="expression" dxfId="1005" priority="97">
      <formula>$R98="Benzick, Sue"</formula>
    </cfRule>
    <cfRule type="expression" dxfId="1004" priority="99">
      <formula>$R98="McQueen, Jennifer"</formula>
    </cfRule>
    <cfRule type="expression" dxfId="1003" priority="98">
      <formula>$R98="Jenne, Richard"</formula>
    </cfRule>
  </conditionalFormatting>
  <conditionalFormatting sqref="F100">
    <cfRule type="expression" dxfId="1002" priority="80">
      <formula>$R100="Jenne, Richard"</formula>
    </cfRule>
    <cfRule type="expression" dxfId="1001" priority="79">
      <formula>$R100="Benzick, Sue"</formula>
    </cfRule>
    <cfRule type="expression" dxfId="1000" priority="81">
      <formula>$R100="McQueen, Jennifer"</formula>
    </cfRule>
  </conditionalFormatting>
  <conditionalFormatting sqref="F129">
    <cfRule type="expression" dxfId="999" priority="95">
      <formula>$R129="Jenne, Richard"</formula>
    </cfRule>
    <cfRule type="expression" dxfId="998" priority="96">
      <formula>$R129="McQueen, Jennifer"</formula>
    </cfRule>
    <cfRule type="expression" dxfId="997" priority="94">
      <formula>$R129="Benzick, Sue"</formula>
    </cfRule>
  </conditionalFormatting>
  <conditionalFormatting sqref="F155 F164">
    <cfRule type="expression" dxfId="996" priority="231">
      <formula>$S157="McQueen, Jennifer"</formula>
    </cfRule>
    <cfRule type="expression" dxfId="995" priority="230">
      <formula>$S157="Jenne, Richard"</formula>
    </cfRule>
    <cfRule type="expression" dxfId="994" priority="229">
      <formula>$S157="Benzick, Sue"</formula>
    </cfRule>
  </conditionalFormatting>
  <conditionalFormatting sqref="F159:F160 F163">
    <cfRule type="expression" dxfId="993" priority="233">
      <formula>$S160="Jenne, Richard"</formula>
    </cfRule>
    <cfRule type="expression" dxfId="992" priority="232">
      <formula>$S160="Benzick, Sue"</formula>
    </cfRule>
    <cfRule type="expression" dxfId="991" priority="234">
      <formula>$S160="McQueen, Jennifer"</formula>
    </cfRule>
  </conditionalFormatting>
  <conditionalFormatting sqref="F162">
    <cfRule type="expression" dxfId="990" priority="225">
      <formula>#REF!="McQueen, Jennifer"</formula>
    </cfRule>
    <cfRule type="expression" dxfId="989" priority="224">
      <formula>#REF!="Jenne, Richard"</formula>
    </cfRule>
    <cfRule type="expression" dxfId="988" priority="223">
      <formula>#REF!="Benzick, Sue"</formula>
    </cfRule>
  </conditionalFormatting>
  <conditionalFormatting sqref="F166">
    <cfRule type="expression" dxfId="987" priority="221">
      <formula>$S170="Jenne, Richard"</formula>
    </cfRule>
    <cfRule type="expression" dxfId="986" priority="220">
      <formula>$S170="Benzick, Sue"</formula>
    </cfRule>
    <cfRule type="expression" dxfId="985" priority="222">
      <formula>$S170="McQueen, Jennifer"</formula>
    </cfRule>
  </conditionalFormatting>
  <conditionalFormatting sqref="F193 F195">
    <cfRule type="expression" dxfId="984" priority="289">
      <formula>$T194="Benzick, Sue"</formula>
    </cfRule>
    <cfRule type="expression" dxfId="983" priority="291">
      <formula>$T194="McQueen, Jennifer"</formula>
    </cfRule>
    <cfRule type="expression" dxfId="982" priority="290">
      <formula>$T194="Jenne, Richard"</formula>
    </cfRule>
  </conditionalFormatting>
  <conditionalFormatting sqref="F194">
    <cfRule type="expression" dxfId="981" priority="312">
      <formula>#REF!="McQueen, Jennifer"</formula>
    </cfRule>
    <cfRule type="expression" dxfId="980" priority="310">
      <formula>#REF!="Benzick, Sue"</formula>
    </cfRule>
    <cfRule type="expression" dxfId="979" priority="311">
      <formula>#REF!="Jenne, Richard"</formula>
    </cfRule>
  </conditionalFormatting>
  <conditionalFormatting sqref="F302">
    <cfRule type="expression" dxfId="978" priority="307">
      <formula>#REF!="Benzick, Sue"</formula>
    </cfRule>
    <cfRule type="expression" dxfId="977" priority="308">
      <formula>#REF!="Jenne, Richard"</formula>
    </cfRule>
    <cfRule type="expression" dxfId="976" priority="309">
      <formula>#REF!="McQueen, Jennifer"</formula>
    </cfRule>
  </conditionalFormatting>
  <conditionalFormatting sqref="F55:G55 E56:H56 E79:F80 F81:F85 F87 F95:F96 F140:G140 F153 J217:M217">
    <cfRule type="expression" dxfId="975" priority="292">
      <formula>$R55="Benzick, Sue"</formula>
    </cfRule>
    <cfRule type="expression" dxfId="974" priority="294">
      <formula>$R55="McQueen, Jennifer"</formula>
    </cfRule>
    <cfRule type="expression" dxfId="973" priority="293">
      <formula>$R55="Jenne, Richard"</formula>
    </cfRule>
  </conditionalFormatting>
  <conditionalFormatting sqref="F92:G93">
    <cfRule type="expression" dxfId="972" priority="107">
      <formula>#REF!="Jenne, Richard"</formula>
    </cfRule>
    <cfRule type="expression" dxfId="971" priority="108">
      <formula>#REF!="McQueen, Jennifer"</formula>
    </cfRule>
    <cfRule type="expression" dxfId="970" priority="106">
      <formula>#REF!="Benzick, Sue"</formula>
    </cfRule>
  </conditionalFormatting>
  <conditionalFormatting sqref="F99:G99">
    <cfRule type="expression" dxfId="969" priority="110">
      <formula>#REF!="Jenne, Richard"</formula>
    </cfRule>
    <cfRule type="expression" dxfId="968" priority="111">
      <formula>#REF!="McQueen, Jennifer"</formula>
    </cfRule>
    <cfRule type="expression" dxfId="967" priority="109">
      <formula>#REF!="Benzick, Sue"</formula>
    </cfRule>
  </conditionalFormatting>
  <conditionalFormatting sqref="F114:G116">
    <cfRule type="expression" dxfId="966" priority="83">
      <formula>#REF!="Jenne, Richard"</formula>
    </cfRule>
    <cfRule type="expression" dxfId="965" priority="82">
      <formula>#REF!="Benzick, Sue"</formula>
    </cfRule>
    <cfRule type="expression" dxfId="964" priority="84">
      <formula>#REF!="McQueen, Jennifer"</formula>
    </cfRule>
  </conditionalFormatting>
  <conditionalFormatting sqref="F118:G118">
    <cfRule type="expression" dxfId="963" priority="115">
      <formula>$T118="Benzick, Sue"</formula>
    </cfRule>
    <cfRule type="expression" dxfId="962" priority="117">
      <formula>$T118="McQueen, Jennifer"</formula>
    </cfRule>
    <cfRule type="expression" dxfId="961" priority="116">
      <formula>$T118="Jenne, Richard"</formula>
    </cfRule>
  </conditionalFormatting>
  <conditionalFormatting sqref="F119:G121">
    <cfRule type="expression" dxfId="960" priority="113">
      <formula>#REF!="Jenne, Richard"</formula>
    </cfRule>
    <cfRule type="expression" dxfId="959" priority="114">
      <formula>#REF!="McQueen, Jennifer"</formula>
    </cfRule>
    <cfRule type="expression" dxfId="958" priority="112">
      <formula>#REF!="Benzick, Sue"</formula>
    </cfRule>
  </conditionalFormatting>
  <conditionalFormatting sqref="F130:G133">
    <cfRule type="expression" dxfId="957" priority="88">
      <formula>#REF!="Benzick, Sue"</formula>
    </cfRule>
    <cfRule type="expression" dxfId="956" priority="90">
      <formula>#REF!="McQueen, Jennifer"</formula>
    </cfRule>
    <cfRule type="expression" dxfId="955" priority="89">
      <formula>#REF!="Jenne, Richard"</formula>
    </cfRule>
  </conditionalFormatting>
  <conditionalFormatting sqref="F162:G162">
    <cfRule type="expression" dxfId="954" priority="226">
      <formula>#REF!="Benzick, Sue"</formula>
    </cfRule>
    <cfRule type="expression" dxfId="953" priority="228">
      <formula>#REF!="McQueen, Jennifer"</formula>
    </cfRule>
    <cfRule type="expression" dxfId="952" priority="227">
      <formula>#REF!="Jenne, Richard"</formula>
    </cfRule>
  </conditionalFormatting>
  <conditionalFormatting sqref="F113:H113 H119:I121">
    <cfRule type="expression" dxfId="951" priority="271">
      <formula>#REF!="Benzick, Sue"</formula>
    </cfRule>
    <cfRule type="expression" dxfId="950" priority="272">
      <formula>#REF!="Jenne, Richard"</formula>
    </cfRule>
    <cfRule type="expression" dxfId="949" priority="273">
      <formula>#REF!="McQueen, Jennifer"</formula>
    </cfRule>
  </conditionalFormatting>
  <conditionalFormatting sqref="F136:H136 E137:I137 H138 H139:I140 H143:I148 H149 H150:I150 H152:I152 I153 H160:H161 H162:I162 H165:I165 H167:I168 H170:I170 H172:I174 H177:I177 I184 H185:I186 H187 H191">
    <cfRule type="expression" dxfId="948" priority="265">
      <formula>#REF!="Benzick, Sue"</formula>
    </cfRule>
    <cfRule type="expression" dxfId="947" priority="266">
      <formula>#REF!="Jenne, Richard"</formula>
    </cfRule>
    <cfRule type="expression" dxfId="946" priority="267">
      <formula>#REF!="McQueen, Jennifer"</formula>
    </cfRule>
  </conditionalFormatting>
  <conditionalFormatting sqref="F296:H296 H397:I402 H403">
    <cfRule type="expression" dxfId="945" priority="245">
      <formula>#REF!="Jenne, Richard"</formula>
    </cfRule>
    <cfRule type="expression" dxfId="944" priority="244">
      <formula>#REF!="Benzick, Sue"</formula>
    </cfRule>
    <cfRule type="expression" dxfId="943" priority="246">
      <formula>#REF!="McQueen, Jennifer"</formula>
    </cfRule>
  </conditionalFormatting>
  <conditionalFormatting sqref="F297:H298 F382:H382 F384:H384 F385:G386">
    <cfRule type="expression" dxfId="942" priority="243">
      <formula>$P297="McQueen, Jennifer"</formula>
    </cfRule>
    <cfRule type="expression" dxfId="941" priority="242">
      <formula>$P297="Jenne, Richard"</formula>
    </cfRule>
    <cfRule type="expression" dxfId="940" priority="241">
      <formula>$P297="Benzick, Sue"</formula>
    </cfRule>
  </conditionalFormatting>
  <conditionalFormatting sqref="F381:H381 F383:H383 F387:H388 F389:G390 F391:H393 F394:I394 F395:H396 F397:G398 H404:I404 H406:I409">
    <cfRule type="expression" dxfId="939" priority="239">
      <formula>#REF!="Jenne, Richard"</formula>
    </cfRule>
    <cfRule type="expression" dxfId="938" priority="238">
      <formula>#REF!="Benzick, Sue"</formula>
    </cfRule>
    <cfRule type="expression" dxfId="937" priority="240">
      <formula>#REF!="McQueen, Jennifer"</formula>
    </cfRule>
  </conditionalFormatting>
  <conditionalFormatting sqref="G16:I20 G21:N21 G22:I22 F23:I26 H27:I30 H31:H35 J31:N36 I31:I63 H37:H39 J40:N40 H41:H43 J53:N53 J55:N57 H57:H59 J60:N61 H62:H63 I64:N64 J87:N87 K88:N91 I90:I91 H91 H92:I96 H97 H98:I98 I99:N100 H101:I102 J103:N104 I103:I116 J112:N112 I122 K122:N122 H123:I124 I125:I126 K125:N126 N128:N129 I129:M129 K130:N130 I130:I133 J132:N132 K133:N133 J141:N141 I151:N151 J153:N153 J155:N155 I156 K156:N156 I157:K157 M157:N157 H158:I159 J163:N163 I164:K164 M164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936" priority="287">
      <formula>#REF!="Jenne, Richard"</formula>
    </cfRule>
    <cfRule type="expression" dxfId="935" priority="288">
      <formula>#REF!="McQueen, Jennifer"</formula>
    </cfRule>
    <cfRule type="expression" dxfId="934" priority="286">
      <formula>#REF!="Benzick, Sue"</formula>
    </cfRule>
  </conditionalFormatting>
  <conditionalFormatting sqref="G182:N182">
    <cfRule type="expression" dxfId="933" priority="133">
      <formula>#REF!="Benzick, Sue"</formula>
    </cfRule>
    <cfRule type="expression" dxfId="932" priority="134">
      <formula>#REF!="Jenne, Richard"</formula>
    </cfRule>
    <cfRule type="expression" dxfId="931" priority="135">
      <formula>#REF!="McQueen, Jennifer"</formula>
    </cfRule>
  </conditionalFormatting>
  <conditionalFormatting sqref="H46:H55 H114:H118 H127:I128 H129:H133 H134:I134 H135 H142 H169 H173 H175:H176 H184">
    <cfRule type="expression" dxfId="930" priority="257">
      <formula>#REF!="Jenne, Richard"</formula>
    </cfRule>
    <cfRule type="expression" dxfId="929" priority="258">
      <formula>#REF!="McQueen, Jennifer"</formula>
    </cfRule>
    <cfRule type="expression" dxfId="928" priority="256">
      <formula>#REF!="Benzick, Sue"</formula>
    </cfRule>
  </conditionalFormatting>
  <conditionalFormatting sqref="H65 I65:I76 J66:N76 H77:I89 E127:G127 E128:E133 I154:N154">
    <cfRule type="expression" dxfId="927" priority="259">
      <formula>#REF!="Benzick, Sue"</formula>
    </cfRule>
    <cfRule type="expression" dxfId="926" priority="261">
      <formula>#REF!="McQueen, Jennifer"</formula>
    </cfRule>
    <cfRule type="expression" dxfId="925" priority="260">
      <formula>#REF!="Jenne, Richard"</formula>
    </cfRule>
  </conditionalFormatting>
  <conditionalFormatting sqref="H125:H126">
    <cfRule type="expression" dxfId="924" priority="282">
      <formula>#REF!="McQueen, Jennifer"</formula>
    </cfRule>
    <cfRule type="expression" dxfId="923" priority="281">
      <formula>#REF!="Jenne, Richard"</formula>
    </cfRule>
    <cfRule type="expression" dxfId="922" priority="280">
      <formula>#REF!="Benzick, Sue"</formula>
    </cfRule>
  </conditionalFormatting>
  <conditionalFormatting sqref="H234">
    <cfRule type="expression" dxfId="921" priority="131">
      <formula>#REF!="Jenne, Richard"</formula>
    </cfRule>
    <cfRule type="expression" dxfId="920" priority="130">
      <formula>#REF!="Benzick, Sue"</formula>
    </cfRule>
    <cfRule type="expression" dxfId="919" priority="132">
      <formula>#REF!="McQueen, Jennifer"</formula>
    </cfRule>
  </conditionalFormatting>
  <conditionalFormatting sqref="H4:I15 H105:H112 F108:G110 F122:H122">
    <cfRule type="expression" dxfId="918" priority="283">
      <formula>#REF!="Benzick, Sue"</formula>
    </cfRule>
    <cfRule type="expression" dxfId="917" priority="284">
      <formula>#REF!="Jenne, Richard"</formula>
    </cfRule>
    <cfRule type="expression" dxfId="916" priority="285">
      <formula>#REF!="McQueen, Jennifer"</formula>
    </cfRule>
  </conditionalFormatting>
  <conditionalFormatting sqref="I97">
    <cfRule type="expression" dxfId="915" priority="216">
      <formula>#REF!="McQueen, Jennifer"</formula>
    </cfRule>
    <cfRule type="expression" dxfId="914" priority="215">
      <formula>#REF!="Jenne, Richard"</formula>
    </cfRule>
    <cfRule type="expression" dxfId="913" priority="214">
      <formula>#REF!="Benzick, Sue"</formula>
    </cfRule>
  </conditionalFormatting>
  <conditionalFormatting sqref="I135">
    <cfRule type="expression" dxfId="912" priority="77">
      <formula>#REF!="Jenne, Richard"</formula>
    </cfRule>
    <cfRule type="expression" dxfId="911" priority="78">
      <formula>#REF!="McQueen, Jennifer"</formula>
    </cfRule>
    <cfRule type="expression" dxfId="910" priority="76">
      <formula>#REF!="Benzick, Sue"</formula>
    </cfRule>
  </conditionalFormatting>
  <conditionalFormatting sqref="I136">
    <cfRule type="expression" dxfId="909" priority="19">
      <formula>$T136="Benzick, Sue"</formula>
    </cfRule>
    <cfRule type="expression" dxfId="908" priority="21">
      <formula>$T136="McQueen, Jennifer"</formula>
    </cfRule>
    <cfRule type="expression" dxfId="907" priority="20">
      <formula>$T136="Jenne, Richard"</formula>
    </cfRule>
  </conditionalFormatting>
  <conditionalFormatting sqref="I138">
    <cfRule type="expression" dxfId="906" priority="27">
      <formula>$T138="McQueen, Jennifer"</formula>
    </cfRule>
    <cfRule type="expression" dxfId="905" priority="26">
      <formula>$T138="Jenne, Richard"</formula>
    </cfRule>
    <cfRule type="expression" dxfId="904" priority="25">
      <formula>$T138="Benzick, Sue"</formula>
    </cfRule>
  </conditionalFormatting>
  <conditionalFormatting sqref="I141:I142">
    <cfRule type="expression" dxfId="903" priority="35">
      <formula>$T141="Jenne, Richard"</formula>
    </cfRule>
    <cfRule type="expression" dxfId="902" priority="36">
      <formula>$T141="McQueen, Jennifer"</formula>
    </cfRule>
    <cfRule type="expression" dxfId="901" priority="34">
      <formula>$T141="Benzick, Sue"</formula>
    </cfRule>
  </conditionalFormatting>
  <conditionalFormatting sqref="I155">
    <cfRule type="expression" dxfId="900" priority="18">
      <formula>$T155="McQueen, Jennifer"</formula>
    </cfRule>
    <cfRule type="expression" dxfId="899" priority="17">
      <formula>$T155="Jenne, Richard"</formula>
    </cfRule>
    <cfRule type="expression" dxfId="898" priority="16">
      <formula>$T155="Benzick, Sue"</formula>
    </cfRule>
  </conditionalFormatting>
  <conditionalFormatting sqref="I160">
    <cfRule type="expression" dxfId="897" priority="9">
      <formula>$T160="McQueen, Jennifer"</formula>
    </cfRule>
    <cfRule type="expression" dxfId="896" priority="8">
      <formula>$T160="Jenne, Richard"</formula>
    </cfRule>
    <cfRule type="expression" dxfId="895" priority="7">
      <formula>$T160="Benzick, Sue"</formula>
    </cfRule>
  </conditionalFormatting>
  <conditionalFormatting sqref="I161">
    <cfRule type="expression" dxfId="894" priority="127">
      <formula>#REF!="Benzick, Sue"</formula>
    </cfRule>
    <cfRule type="expression" dxfId="893" priority="128">
      <formula>#REF!="Jenne, Richard"</formula>
    </cfRule>
    <cfRule type="expression" dxfId="892" priority="129">
      <formula>#REF!="McQueen, Jennifer"</formula>
    </cfRule>
  </conditionalFormatting>
  <conditionalFormatting sqref="I163">
    <cfRule type="expression" dxfId="891" priority="5">
      <formula>$T163="Jenne, Richard"</formula>
    </cfRule>
    <cfRule type="expression" dxfId="890" priority="4">
      <formula>$T163="Benzick, Sue"</formula>
    </cfRule>
    <cfRule type="expression" dxfId="889" priority="6">
      <formula>$T163="McQueen, Jennifer"</formula>
    </cfRule>
  </conditionalFormatting>
  <conditionalFormatting sqref="I175:I176">
    <cfRule type="expression" dxfId="888" priority="149">
      <formula>#REF!="Jenne, Richard"</formula>
    </cfRule>
    <cfRule type="expression" dxfId="887" priority="148">
      <formula>#REF!="Benzick, Sue"</formula>
    </cfRule>
    <cfRule type="expression" dxfId="886" priority="150">
      <formula>#REF!="McQueen, Jennifer"</formula>
    </cfRule>
  </conditionalFormatting>
  <conditionalFormatting sqref="I203">
    <cfRule type="expression" dxfId="885" priority="212">
      <formula>#REF!="Jenne, Richard"</formula>
    </cfRule>
    <cfRule type="expression" dxfId="884" priority="211">
      <formula>#REF!="Benzick, Sue"</formula>
    </cfRule>
    <cfRule type="expression" dxfId="883" priority="213">
      <formula>#REF!="McQueen, Jennifer"</formula>
    </cfRule>
  </conditionalFormatting>
  <conditionalFormatting sqref="I220">
    <cfRule type="expression" dxfId="882" priority="177">
      <formula>#REF!="McQueen, Jennifer"</formula>
    </cfRule>
    <cfRule type="expression" dxfId="881" priority="176">
      <formula>#REF!="Jenne, Richard"</formula>
    </cfRule>
    <cfRule type="expression" dxfId="880" priority="175">
      <formula>#REF!="Benzick, Sue"</formula>
    </cfRule>
  </conditionalFormatting>
  <conditionalFormatting sqref="I246">
    <cfRule type="expression" dxfId="879" priority="169">
      <formula>#REF!="Benzick, Sue"</formula>
    </cfRule>
    <cfRule type="expression" dxfId="878" priority="170">
      <formula>#REF!="Jenne, Richard"</formula>
    </cfRule>
    <cfRule type="expression" dxfId="877" priority="171">
      <formula>#REF!="McQueen, Jennifer"</formula>
    </cfRule>
  </conditionalFormatting>
  <conditionalFormatting sqref="I285">
    <cfRule type="expression" dxfId="876" priority="205">
      <formula>#REF!="Benzick, Sue"</formula>
    </cfRule>
    <cfRule type="expression" dxfId="875" priority="206">
      <formula>#REF!="Jenne, Richard"</formula>
    </cfRule>
    <cfRule type="expression" dxfId="874" priority="207">
      <formula>#REF!="McQueen, Jennifer"</formula>
    </cfRule>
  </conditionalFormatting>
  <conditionalFormatting sqref="I332">
    <cfRule type="expression" dxfId="873" priority="208">
      <formula>#REF!="Benzick, Sue"</formula>
    </cfRule>
    <cfRule type="expression" dxfId="872" priority="209">
      <formula>#REF!="Jenne, Richard"</formula>
    </cfRule>
    <cfRule type="expression" dxfId="871" priority="210">
      <formula>#REF!="McQueen, Jennifer"</formula>
    </cfRule>
  </conditionalFormatting>
  <conditionalFormatting sqref="I187:N190">
    <cfRule type="expression" dxfId="870" priority="189">
      <formula>#REF!="McQueen, Jennifer"</formula>
    </cfRule>
    <cfRule type="expression" dxfId="869" priority="188">
      <formula>#REF!="Jenne, Richard"</formula>
    </cfRule>
    <cfRule type="expression" dxfId="868" priority="187">
      <formula>#REF!="Benzick, Sue"</formula>
    </cfRule>
  </conditionalFormatting>
  <conditionalFormatting sqref="I257:N257">
    <cfRule type="expression" dxfId="867" priority="123">
      <formula>#REF!="McQueen, Jennifer"</formula>
    </cfRule>
    <cfRule type="expression" dxfId="866" priority="122">
      <formula>#REF!="Jenne, Richard"</formula>
    </cfRule>
    <cfRule type="expression" dxfId="865" priority="121">
      <formula>#REF!="Benzick, Sue"</formula>
    </cfRule>
  </conditionalFormatting>
  <conditionalFormatting sqref="I275:N275">
    <cfRule type="expression" dxfId="864" priority="126">
      <formula>#REF!="McQueen, Jennifer"</formula>
    </cfRule>
    <cfRule type="expression" dxfId="863" priority="125">
      <formula>#REF!="Jenne, Richard"</formula>
    </cfRule>
    <cfRule type="expression" dxfId="862" priority="124">
      <formula>#REF!="Benzick, Sue"</formula>
    </cfRule>
  </conditionalFormatting>
  <conditionalFormatting sqref="I403:N403">
    <cfRule type="expression" dxfId="861" priority="186">
      <formula>#REF!="McQueen, Jennifer"</formula>
    </cfRule>
    <cfRule type="expression" dxfId="860" priority="185">
      <formula>#REF!="Jenne, Richard"</formula>
    </cfRule>
    <cfRule type="expression" dxfId="859" priority="184">
      <formula>#REF!="Benzick, Sue"</formula>
    </cfRule>
  </conditionalFormatting>
  <conditionalFormatting sqref="I437:N442">
    <cfRule type="expression" dxfId="858" priority="218">
      <formula>#REF!="Jenne, Richard"</formula>
    </cfRule>
    <cfRule type="expression" dxfId="857" priority="217">
      <formula>#REF!="Benzick, Sue"</formula>
    </cfRule>
    <cfRule type="expression" dxfId="856" priority="219">
      <formula>#REF!="McQueen, Jennifer"</formula>
    </cfRule>
  </conditionalFormatting>
  <conditionalFormatting sqref="J47">
    <cfRule type="expression" dxfId="855" priority="202">
      <formula>#REF!="Benzick, Sue"</formula>
    </cfRule>
    <cfRule type="expression" dxfId="854" priority="203">
      <formula>#REF!="Jenne, Richard"</formula>
    </cfRule>
    <cfRule type="expression" dxfId="853" priority="204">
      <formula>#REF!="McQueen, Jennifer"</formula>
    </cfRule>
  </conditionalFormatting>
  <conditionalFormatting sqref="J88:J91">
    <cfRule type="expression" dxfId="852" priority="50">
      <formula>#REF!="Jenne, Richard"</formula>
    </cfRule>
    <cfRule type="expression" dxfId="851" priority="51">
      <formula>#REF!="McQueen, Jennifer"</formula>
    </cfRule>
    <cfRule type="expression" dxfId="850" priority="49">
      <formula>#REF!="Benzick, Sue"</formula>
    </cfRule>
  </conditionalFormatting>
  <conditionalFormatting sqref="J101:J102">
    <cfRule type="expression" dxfId="849" priority="65">
      <formula>#REF!="Jenne, Richard"</formula>
    </cfRule>
    <cfRule type="expression" dxfId="848" priority="66">
      <formula>#REF!="McQueen, Jennifer"</formula>
    </cfRule>
    <cfRule type="expression" dxfId="847" priority="64">
      <formula>#REF!="Benzick, Sue"</formula>
    </cfRule>
  </conditionalFormatting>
  <conditionalFormatting sqref="J118:J127">
    <cfRule type="expression" dxfId="846" priority="53">
      <formula>#REF!="Jenne, Richard"</formula>
    </cfRule>
    <cfRule type="expression" dxfId="845" priority="52">
      <formula>#REF!="Benzick, Sue"</formula>
    </cfRule>
    <cfRule type="expression" dxfId="844" priority="54">
      <formula>#REF!="McQueen, Jennifer"</formula>
    </cfRule>
  </conditionalFormatting>
  <conditionalFormatting sqref="J130">
    <cfRule type="expression" dxfId="843" priority="63">
      <formula>#REF!="McQueen, Jennifer"</formula>
    </cfRule>
    <cfRule type="expression" dxfId="842" priority="62">
      <formula>#REF!="Jenne, Richard"</formula>
    </cfRule>
    <cfRule type="expression" dxfId="841" priority="61">
      <formula>#REF!="Benzick, Sue"</formula>
    </cfRule>
  </conditionalFormatting>
  <conditionalFormatting sqref="J133">
    <cfRule type="expression" dxfId="840" priority="60">
      <formula>#REF!="McQueen, Jennifer"</formula>
    </cfRule>
    <cfRule type="expression" dxfId="839" priority="59">
      <formula>#REF!="Jenne, Richard"</formula>
    </cfRule>
    <cfRule type="expression" dxfId="838" priority="58">
      <formula>#REF!="Benzick, Sue"</formula>
    </cfRule>
  </conditionalFormatting>
  <conditionalFormatting sqref="J137">
    <cfRule type="expression" dxfId="837" priority="22">
      <formula>$T137="Benzick, Sue"</formula>
    </cfRule>
    <cfRule type="expression" dxfId="836" priority="23">
      <formula>$T137="Jenne, Richard"</formula>
    </cfRule>
    <cfRule type="expression" dxfId="835" priority="24">
      <formula>$T137="McQueen, Jennifer"</formula>
    </cfRule>
  </conditionalFormatting>
  <conditionalFormatting sqref="J139:J140">
    <cfRule type="expression" dxfId="834" priority="28">
      <formula>$T139="Benzick, Sue"</formula>
    </cfRule>
    <cfRule type="expression" dxfId="833" priority="29">
      <formula>$T139="Jenne, Richard"</formula>
    </cfRule>
    <cfRule type="expression" dxfId="832" priority="30">
      <formula>$T139="McQueen, Jennifer"</formula>
    </cfRule>
  </conditionalFormatting>
  <conditionalFormatting sqref="J156">
    <cfRule type="expression" dxfId="831" priority="13">
      <formula>$T156="Benzick, Sue"</formula>
    </cfRule>
    <cfRule type="expression" dxfId="830" priority="14">
      <formula>$T156="Jenne, Richard"</formula>
    </cfRule>
    <cfRule type="expression" dxfId="829" priority="15">
      <formula>$T156="McQueen, Jennifer"</formula>
    </cfRule>
  </conditionalFormatting>
  <conditionalFormatting sqref="J220">
    <cfRule type="expression" dxfId="828" priority="174">
      <formula>$T220="McQueen, Jennifer"</formula>
    </cfRule>
    <cfRule type="expression" dxfId="827" priority="173">
      <formula>$T220="Jenne, Richard"</formula>
    </cfRule>
    <cfRule type="expression" dxfId="826" priority="172">
      <formula>$T220="Benzick, Sue"</formula>
    </cfRule>
  </conditionalFormatting>
  <conditionalFormatting sqref="J246">
    <cfRule type="expression" dxfId="825" priority="168">
      <formula>$T246="McQueen, Jennifer"</formula>
    </cfRule>
    <cfRule type="expression" dxfId="824" priority="166">
      <formula>$T246="Benzick, Sue"</formula>
    </cfRule>
    <cfRule type="expression" dxfId="823" priority="167">
      <formula>$T246="Jenne, Richard"</formula>
    </cfRule>
  </conditionalFormatting>
  <conditionalFormatting sqref="J254">
    <cfRule type="expression" dxfId="822" priority="163">
      <formula>$T254="Benzick, Sue"</formula>
    </cfRule>
    <cfRule type="expression" dxfId="821" priority="165">
      <formula>$T254="McQueen, Jennifer"</formula>
    </cfRule>
    <cfRule type="expression" dxfId="820" priority="164">
      <formula>$T254="Jenne, Richard"</formula>
    </cfRule>
  </conditionalFormatting>
  <conditionalFormatting sqref="J392">
    <cfRule type="expression" dxfId="819" priority="161">
      <formula>$T392="Jenne, Richard"</formula>
    </cfRule>
    <cfRule type="expression" dxfId="818" priority="162">
      <formula>$T392="McQueen, Jennifer"</formula>
    </cfRule>
    <cfRule type="expression" dxfId="817" priority="160">
      <formula>$T392="Benzick, Sue"</formula>
    </cfRule>
  </conditionalFormatting>
  <conditionalFormatting sqref="J449">
    <cfRule type="expression" dxfId="816" priority="159">
      <formula>$T449="McQueen, Jennifer"</formula>
    </cfRule>
    <cfRule type="expression" dxfId="815" priority="158">
      <formula>$T449="Jenne, Richard"</formula>
    </cfRule>
    <cfRule type="expression" dxfId="814" priority="157">
      <formula>$T449="Benzick, Sue"</formula>
    </cfRule>
  </conditionalFormatting>
  <conditionalFormatting sqref="J4:N20 T4:T76 A16:A18 S16:S22 S24:S33 S35 S37:S53 F57:G58 S57:S68 E59:G59 E60:H60 F61:H61 E62:G62 J62:N62 F63:G63 F64:H64 E64:E65 J65:N65 F65:F66 A65:A76 E67:F76 S77:T128 J86:N86 J92:L92 N92 A94:A95 J94:L95 N94:N95 E97:E98 H100 J105:N105 A106:A109 J110:N110 J113:N113 K119:N121 K123:N123 T129 S130:T141 A135 E138 K139:N139 E141:H141 E143:G143 S143:T143 J143:N144 E144 S144:S145 T144:T149 F145 K145 M145:N145 F147:G149 S147:S149 J150:N150 F150:F151 S150:T190 F154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813" priority="300">
      <formula>$S4="McQueen, Jennifer"</formula>
    </cfRule>
    <cfRule type="expression" dxfId="812" priority="298">
      <formula>$S4="Benzick, Sue"</formula>
    </cfRule>
    <cfRule type="expression" dxfId="811" priority="299">
      <formula>$S4="Jenne, Richard"</formula>
    </cfRule>
  </conditionalFormatting>
  <conditionalFormatting sqref="J22:N22">
    <cfRule type="expression" dxfId="810" priority="156">
      <formula>$S22="McQueen, Jennifer"</formula>
    </cfRule>
    <cfRule type="expression" dxfId="809" priority="154">
      <formula>$S22="Benzick, Sue"</formula>
    </cfRule>
    <cfRule type="expression" dxfId="808" priority="155">
      <formula>$S22="Jenne, Richard"</formula>
    </cfRule>
  </conditionalFormatting>
  <conditionalFormatting sqref="J49:N52">
    <cfRule type="expression" dxfId="807" priority="181">
      <formula>$T49="Benzick, Sue"</formula>
    </cfRule>
    <cfRule type="expression" dxfId="806" priority="182">
      <formula>$T49="Jenne, Richard"</formula>
    </cfRule>
    <cfRule type="expression" dxfId="805" priority="183">
      <formula>$T49="McQueen, Jennifer"</formula>
    </cfRule>
  </conditionalFormatting>
  <conditionalFormatting sqref="J59:N59">
    <cfRule type="expression" dxfId="804" priority="178">
      <formula>$T59="Benzick, Sue"</formula>
    </cfRule>
    <cfRule type="expression" dxfId="803" priority="179">
      <formula>$T59="Jenne, Richard"</formula>
    </cfRule>
    <cfRule type="expression" dxfId="802" priority="180">
      <formula>$T59="McQueen, Jennifer"</formula>
    </cfRule>
  </conditionalFormatting>
  <conditionalFormatting sqref="J115:N116 I117:L117 N117 I118 K118:N118">
    <cfRule type="expression" dxfId="801" priority="152">
      <formula>#REF!="Jenne, Richard"</formula>
    </cfRule>
    <cfRule type="expression" dxfId="800" priority="151">
      <formula>#REF!="Benzick, Sue"</formula>
    </cfRule>
    <cfRule type="expression" dxfId="799" priority="153">
      <formula>#REF!="McQueen, Jennifer"</formula>
    </cfRule>
  </conditionalFormatting>
  <conditionalFormatting sqref="K47">
    <cfRule type="expression" dxfId="798" priority="200">
      <formula>#REF!="Jenne, Richard"</formula>
    </cfRule>
    <cfRule type="expression" dxfId="797" priority="201">
      <formula>#REF!="McQueen, Jennifer"</formula>
    </cfRule>
    <cfRule type="expression" dxfId="796" priority="199">
      <formula>#REF!="Benzick, Sue"</formula>
    </cfRule>
  </conditionalFormatting>
  <conditionalFormatting sqref="L47">
    <cfRule type="expression" dxfId="795" priority="197">
      <formula>#REF!="Jenne, Richard"</formula>
    </cfRule>
    <cfRule type="expression" dxfId="794" priority="196">
      <formula>#REF!="Benzick, Sue"</formula>
    </cfRule>
    <cfRule type="expression" dxfId="793" priority="198">
      <formula>#REF!="McQueen, Jennifer"</formula>
    </cfRule>
  </conditionalFormatting>
  <conditionalFormatting sqref="L157">
    <cfRule type="expression" dxfId="792" priority="12">
      <formula>$T157="McQueen, Jennifer"</formula>
    </cfRule>
    <cfRule type="expression" dxfId="791" priority="11">
      <formula>$T157="Jenne, Richard"</formula>
    </cfRule>
    <cfRule type="expression" dxfId="790" priority="10">
      <formula>$T157="Benzick, Sue"</formula>
    </cfRule>
  </conditionalFormatting>
  <conditionalFormatting sqref="L164">
    <cfRule type="expression" dxfId="789" priority="2">
      <formula>$T164="Jenne, Richard"</formula>
    </cfRule>
    <cfRule type="expression" dxfId="788" priority="1">
      <formula>$T164="Benzick, Sue"</formula>
    </cfRule>
    <cfRule type="expression" dxfId="787" priority="3">
      <formula>$T164="McQueen, Jennifer"</formula>
    </cfRule>
  </conditionalFormatting>
  <conditionalFormatting sqref="M47">
    <cfRule type="expression" dxfId="786" priority="195">
      <formula>#REF!="McQueen, Jennifer"</formula>
    </cfRule>
    <cfRule type="expression" dxfId="785" priority="194">
      <formula>#REF!="Jenne, Richard"</formula>
    </cfRule>
    <cfRule type="expression" dxfId="784" priority="193">
      <formula>#REF!="Benzick, Sue"</formula>
    </cfRule>
  </conditionalFormatting>
  <conditionalFormatting sqref="M92:M96">
    <cfRule type="expression" dxfId="783" priority="70">
      <formula>#REF!="Benzick, Sue"</formula>
    </cfRule>
    <cfRule type="expression" dxfId="782" priority="71">
      <formula>#REF!="Jenne, Richard"</formula>
    </cfRule>
    <cfRule type="expression" dxfId="781" priority="72">
      <formula>#REF!="McQueen, Jennifer"</formula>
    </cfRule>
  </conditionalFormatting>
  <conditionalFormatting sqref="M117">
    <cfRule type="expression" dxfId="780" priority="68">
      <formula>#REF!="Jenne, Richard"</formula>
    </cfRule>
    <cfRule type="expression" dxfId="779" priority="67">
      <formula>#REF!="Benzick, Sue"</formula>
    </cfRule>
    <cfRule type="expression" dxfId="778" priority="69">
      <formula>#REF!="McQueen, Jennifer"</formula>
    </cfRule>
  </conditionalFormatting>
  <conditionalFormatting sqref="N47">
    <cfRule type="expression" dxfId="777" priority="192">
      <formula>#REF!="McQueen, Jennifer"</formula>
    </cfRule>
    <cfRule type="expression" dxfId="776" priority="191">
      <formula>#REF!="Jenne, Richard"</formula>
    </cfRule>
    <cfRule type="expression" dxfId="775" priority="190">
      <formula>#REF!="Benzick, Sue"</formula>
    </cfRule>
  </conditionalFormatting>
  <conditionalFormatting sqref="N97:N98">
    <cfRule type="expression" dxfId="774" priority="74">
      <formula>#REF!="Jenne, Richard"</formula>
    </cfRule>
    <cfRule type="expression" dxfId="773" priority="75">
      <formula>#REF!="McQueen, Jennifer"</formula>
    </cfRule>
    <cfRule type="expression" dxfId="772" priority="73">
      <formula>#REF!="Benzick, Sue"</formula>
    </cfRule>
  </conditionalFormatting>
  <conditionalFormatting sqref="W4:W22 W130:W141 W182">
    <cfRule type="expression" dxfId="771" priority="142">
      <formula>$X4="Benzick, Sue"</formula>
    </cfRule>
    <cfRule type="expression" dxfId="770" priority="143">
      <formula>$X4="Jenne, Richard"</formula>
    </cfRule>
    <cfRule type="expression" dxfId="769" priority="144">
      <formula>$X4="McQueen, Jennifer"</formula>
    </cfRule>
  </conditionalFormatting>
  <conditionalFormatting sqref="W335:W337">
    <cfRule type="expression" dxfId="768" priority="301">
      <formula>$Y335="Benzick, Sue"</formula>
    </cfRule>
    <cfRule type="expression" dxfId="767" priority="303">
      <formula>$Y335="McQueen, Jennifer"</formula>
    </cfRule>
    <cfRule type="expression" dxfId="766" priority="302">
      <formula>$Y335="Jenne, Richard"</formula>
    </cfRule>
  </conditionalFormatting>
  <conditionalFormatting sqref="Y4:Y141 J23:N23 W24:W33 W35 W37:W53 W57:W68 W77:W128 W143:W157 Y143:Y190 Y192:Y245 Y247:Y458">
    <cfRule type="expression" dxfId="765" priority="304">
      <formula>$X4="Benzick, Sue"</formula>
    </cfRule>
    <cfRule type="expression" dxfId="764" priority="305">
      <formula>$X4="Jenne, Richard"</formula>
    </cfRule>
    <cfRule type="expression" dxfId="763" priority="306">
      <formula>$X4="McQueen, Jennifer"</formula>
    </cfRule>
  </conditionalFormatting>
  <dataValidations count="4">
    <dataValidation allowBlank="1" showInputMessage="1" showErrorMessage="1" sqref="S247:S458 S192:S245 S143:S190 S4:S141" xr:uid="{97157EB6-2C71-49DE-874B-E57713A9CC44}"/>
    <dataValidation type="list" allowBlank="1" showInputMessage="1" showErrorMessage="1" sqref="A60:A62 A179:A181 A183" xr:uid="{6A517CD9-A46C-4C33-B867-D2873C0695E0}">
      <formula1>Location</formula1>
    </dataValidation>
    <dataValidation type="list" allowBlank="1" showInputMessage="1" showErrorMessage="1" sqref="B460:B466 B468:B738 B4:B458" xr:uid="{E603CEEB-9109-49FC-9FA5-34416865A0A7}">
      <formula1>Class</formula1>
    </dataValidation>
    <dataValidation type="list" allowBlank="1" showInputMessage="1" showErrorMessage="1" sqref="O460:O682" xr:uid="{3522E8B9-22A7-4EED-8A66-EC091F7C6E81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E9E8-13EC-4B9E-A279-9E528C42A9C8}">
  <sheetPr>
    <pageSetUpPr fitToPage="1"/>
  </sheetPr>
  <dimension ref="A1:AA163"/>
  <sheetViews>
    <sheetView zoomScale="85" zoomScaleNormal="85" workbookViewId="0">
      <selection activeCell="A3" sqref="A3"/>
    </sheetView>
  </sheetViews>
  <sheetFormatPr defaultColWidth="8.7109375" defaultRowHeight="15" x14ac:dyDescent="0.25"/>
  <cols>
    <col min="1" max="1" width="29" style="9" customWidth="1"/>
    <col min="2" max="2" width="68.5703125" style="10" bestFit="1" customWidth="1"/>
    <col min="3" max="3" width="14.28515625" style="2" customWidth="1"/>
    <col min="4" max="4" width="16.28515625" style="12" customWidth="1"/>
    <col min="5" max="5" width="22.7109375" style="10" customWidth="1"/>
    <col min="6" max="6" width="17" style="11" customWidth="1"/>
    <col min="7" max="7" width="15.7109375" style="11" customWidth="1"/>
    <col min="8" max="9" width="14.85546875" style="36" bestFit="1" customWidth="1"/>
    <col min="10" max="14" width="14.85546875" style="36" hidden="1" customWidth="1"/>
    <col min="15" max="15" width="20" style="10" bestFit="1" customWidth="1"/>
    <col min="16" max="16" width="18.42578125" style="10" hidden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456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425</v>
      </c>
      <c r="B3" s="27" t="s">
        <v>227</v>
      </c>
      <c r="C3" s="27" t="s">
        <v>73</v>
      </c>
      <c r="D3" s="120" t="s">
        <v>228</v>
      </c>
      <c r="E3" s="27" t="s">
        <v>156</v>
      </c>
      <c r="F3" s="99" t="s">
        <v>457</v>
      </c>
      <c r="G3" s="99" t="s">
        <v>458</v>
      </c>
      <c r="H3" s="71" t="s">
        <v>231</v>
      </c>
      <c r="I3" s="71" t="s">
        <v>232</v>
      </c>
      <c r="J3" s="71" t="s">
        <v>233</v>
      </c>
      <c r="K3" s="71" t="s">
        <v>234</v>
      </c>
      <c r="L3" s="71" t="s">
        <v>235</v>
      </c>
      <c r="M3" s="71" t="s">
        <v>236</v>
      </c>
      <c r="N3" s="71" t="s">
        <v>237</v>
      </c>
      <c r="O3" s="27" t="s">
        <v>238</v>
      </c>
      <c r="P3" s="27" t="s">
        <v>239</v>
      </c>
      <c r="Q3" s="30" t="s">
        <v>240</v>
      </c>
      <c r="R3" s="30" t="s">
        <v>242</v>
      </c>
      <c r="S3" s="29" t="s">
        <v>246</v>
      </c>
      <c r="T3" s="29" t="s">
        <v>247</v>
      </c>
      <c r="U3" s="29" t="s">
        <v>13</v>
      </c>
      <c r="V3" s="29" t="s">
        <v>14</v>
      </c>
      <c r="W3" s="29" t="s">
        <v>248</v>
      </c>
      <c r="X3" s="29" t="s">
        <v>249</v>
      </c>
      <c r="Y3" s="29" t="s">
        <v>250</v>
      </c>
      <c r="Z3" s="29" t="s">
        <v>251</v>
      </c>
      <c r="AA3" s="29" t="s">
        <v>252</v>
      </c>
    </row>
    <row r="4" spans="1:27" s="103" customFormat="1" ht="14.25" customHeight="1" x14ac:dyDescent="0.25">
      <c r="A4" s="61"/>
      <c r="B4" s="96" t="s">
        <v>15</v>
      </c>
      <c r="C4" s="97" t="s">
        <v>87</v>
      </c>
      <c r="D4" s="97" t="s">
        <v>88</v>
      </c>
      <c r="E4" s="96" t="s">
        <v>86</v>
      </c>
      <c r="F4" s="99">
        <v>45600</v>
      </c>
      <c r="G4" s="99">
        <v>45604</v>
      </c>
      <c r="H4" s="102"/>
      <c r="I4" s="98">
        <v>0.54166666666666663</v>
      </c>
      <c r="J4" s="99"/>
      <c r="K4" s="99"/>
      <c r="L4" s="99"/>
      <c r="M4" s="99"/>
      <c r="N4" s="99"/>
      <c r="O4" s="96" t="s">
        <v>272</v>
      </c>
      <c r="P4" s="96"/>
      <c r="Q4" s="15">
        <v>45</v>
      </c>
      <c r="R4" s="211">
        <v>5</v>
      </c>
      <c r="S4" s="15"/>
      <c r="T4" s="100"/>
      <c r="U4" s="15"/>
      <c r="V4" s="15"/>
      <c r="W4" s="15"/>
      <c r="X4" s="96"/>
      <c r="Y4" s="69">
        <f ca="1">Table29[[#This Row],[5/9/2025]]+2-TODAY()</f>
        <v>-171</v>
      </c>
      <c r="Z4" s="15">
        <f>IF(ISBLANK(Table29[[#This Row],[Roster Received By]]),1,0)</f>
        <v>1</v>
      </c>
      <c r="AA4" s="15">
        <f ca="1">IF(Table29[[#This Row],[5/5/2025]]&gt;TODAY(),1,)</f>
        <v>0</v>
      </c>
    </row>
    <row r="5" spans="1:27" s="103" customFormat="1" ht="14.25" customHeight="1" x14ac:dyDescent="0.25">
      <c r="A5" s="61"/>
      <c r="B5" s="96" t="s">
        <v>15</v>
      </c>
      <c r="C5" s="97" t="s">
        <v>87</v>
      </c>
      <c r="D5" s="97" t="s">
        <v>88</v>
      </c>
      <c r="E5" s="96" t="s">
        <v>86</v>
      </c>
      <c r="F5" s="99">
        <v>45635</v>
      </c>
      <c r="G5" s="99">
        <v>45639</v>
      </c>
      <c r="H5" s="102"/>
      <c r="I5" s="98">
        <v>0.33333333333333331</v>
      </c>
      <c r="J5" s="99"/>
      <c r="K5" s="99"/>
      <c r="L5" s="99"/>
      <c r="M5" s="99"/>
      <c r="N5" s="99"/>
      <c r="O5" s="96" t="s">
        <v>459</v>
      </c>
      <c r="P5" s="96"/>
      <c r="Q5" s="15">
        <v>45</v>
      </c>
      <c r="R5" s="211">
        <v>5</v>
      </c>
      <c r="S5" s="15"/>
      <c r="T5" s="100"/>
      <c r="U5" s="15"/>
      <c r="V5" s="15"/>
      <c r="W5" s="15"/>
      <c r="X5" s="96"/>
      <c r="Y5" s="69">
        <f ca="1">Table29[[#This Row],[5/9/2025]]+2-TODAY()</f>
        <v>-136</v>
      </c>
      <c r="Z5" s="15">
        <f>IF(ISBLANK(Table29[[#This Row],[Roster Received By]]),1,0)</f>
        <v>1</v>
      </c>
      <c r="AA5" s="15">
        <f ca="1">IF(Table29[[#This Row],[5/5/2025]]&gt;TODAY(),1,)</f>
        <v>0</v>
      </c>
    </row>
    <row r="6" spans="1:27" s="103" customFormat="1" ht="14.25" customHeight="1" x14ac:dyDescent="0.25">
      <c r="A6" s="61"/>
      <c r="B6" s="96" t="s">
        <v>15</v>
      </c>
      <c r="C6" s="97" t="s">
        <v>87</v>
      </c>
      <c r="D6" s="97" t="s">
        <v>88</v>
      </c>
      <c r="E6" s="96" t="s">
        <v>86</v>
      </c>
      <c r="F6" s="99">
        <v>45670</v>
      </c>
      <c r="G6" s="99">
        <v>45674</v>
      </c>
      <c r="H6" s="102"/>
      <c r="I6" s="98">
        <v>0.54166666666666663</v>
      </c>
      <c r="J6" s="99"/>
      <c r="K6" s="99"/>
      <c r="L6" s="99"/>
      <c r="M6" s="99"/>
      <c r="N6" s="99"/>
      <c r="O6" s="96" t="s">
        <v>278</v>
      </c>
      <c r="P6" s="96"/>
      <c r="Q6" s="15">
        <v>45</v>
      </c>
      <c r="R6" s="211">
        <v>5</v>
      </c>
      <c r="S6" s="15"/>
      <c r="T6" s="100"/>
      <c r="U6" s="15"/>
      <c r="V6" s="15"/>
      <c r="W6" s="15"/>
      <c r="X6" s="96"/>
      <c r="Y6" s="69">
        <f ca="1">Table29[[#This Row],[5/9/2025]]+2-TODAY()</f>
        <v>-101</v>
      </c>
      <c r="Z6" s="15">
        <f>IF(ISBLANK(Table29[[#This Row],[Roster Received By]]),1,0)</f>
        <v>1</v>
      </c>
      <c r="AA6" s="15">
        <f ca="1">IF(Table29[[#This Row],[5/5/2025]]&gt;TODAY(),1,)</f>
        <v>0</v>
      </c>
    </row>
    <row r="7" spans="1:27" s="103" customFormat="1" ht="14.25" customHeight="1" x14ac:dyDescent="0.25">
      <c r="A7" s="96"/>
      <c r="B7" s="96" t="s">
        <v>15</v>
      </c>
      <c r="C7" s="97" t="s">
        <v>87</v>
      </c>
      <c r="D7" s="97" t="s">
        <v>88</v>
      </c>
      <c r="E7" s="96" t="s">
        <v>86</v>
      </c>
      <c r="F7" s="99">
        <v>45698</v>
      </c>
      <c r="G7" s="99">
        <v>45702</v>
      </c>
      <c r="H7" s="102"/>
      <c r="I7" s="98">
        <v>0.33333333333333331</v>
      </c>
      <c r="J7" s="99"/>
      <c r="K7" s="99"/>
      <c r="L7" s="99"/>
      <c r="M7" s="99"/>
      <c r="N7" s="99"/>
      <c r="O7" s="96" t="s">
        <v>272</v>
      </c>
      <c r="P7" s="96"/>
      <c r="Q7" s="15">
        <v>45</v>
      </c>
      <c r="R7" s="211">
        <v>5</v>
      </c>
      <c r="S7" s="15"/>
      <c r="T7" s="100"/>
      <c r="U7" s="15"/>
      <c r="V7" s="15"/>
      <c r="W7" s="15"/>
      <c r="X7" s="96"/>
      <c r="Y7" s="69">
        <f ca="1">Table29[[#This Row],[5/9/2025]]+2-TODAY()</f>
        <v>-73</v>
      </c>
      <c r="Z7" s="15">
        <f>IF(ISBLANK(Table29[[#This Row],[Roster Received By]]),1,0)</f>
        <v>1</v>
      </c>
      <c r="AA7" s="15">
        <f ca="1">IF(Table29[[#This Row],[5/5/2025]]&gt;TODAY(),1,)</f>
        <v>0</v>
      </c>
    </row>
    <row r="8" spans="1:27" s="103" customFormat="1" ht="14.25" customHeight="1" x14ac:dyDescent="0.25">
      <c r="A8" s="61"/>
      <c r="B8" s="96" t="s">
        <v>15</v>
      </c>
      <c r="C8" s="97" t="s">
        <v>87</v>
      </c>
      <c r="D8" s="97" t="s">
        <v>88</v>
      </c>
      <c r="E8" s="96" t="s">
        <v>86</v>
      </c>
      <c r="F8" s="99">
        <v>45728</v>
      </c>
      <c r="G8" s="99">
        <v>45732</v>
      </c>
      <c r="H8" s="99"/>
      <c r="I8" s="98">
        <v>0.54166666666666663</v>
      </c>
      <c r="J8" s="98"/>
      <c r="K8" s="98"/>
      <c r="L8" s="98"/>
      <c r="M8" s="98"/>
      <c r="N8" s="98"/>
      <c r="O8" s="96" t="s">
        <v>278</v>
      </c>
      <c r="P8" s="96"/>
      <c r="Q8" s="15">
        <v>45</v>
      </c>
      <c r="R8" s="211">
        <v>5</v>
      </c>
      <c r="S8" s="15"/>
      <c r="T8" s="100"/>
      <c r="U8" s="15"/>
      <c r="V8" s="15"/>
      <c r="W8" s="15"/>
      <c r="X8" s="96"/>
      <c r="Y8" s="69">
        <f ca="1">Table29[[#This Row],[5/9/2025]]+2-TODAY()</f>
        <v>-43</v>
      </c>
      <c r="Z8" s="15">
        <f>IF(ISBLANK(Table29[[#This Row],[Roster Received By]]),1,0)</f>
        <v>1</v>
      </c>
      <c r="AA8" s="15">
        <f ca="1">IF(Table29[[#This Row],[5/5/2025]]&gt;TODAY(),1,)</f>
        <v>0</v>
      </c>
    </row>
    <row r="9" spans="1:27" s="103" customFormat="1" ht="14.25" customHeight="1" x14ac:dyDescent="0.25">
      <c r="A9" s="61"/>
      <c r="B9" s="96" t="s">
        <v>15</v>
      </c>
      <c r="C9" s="97" t="s">
        <v>87</v>
      </c>
      <c r="D9" s="97" t="s">
        <v>88</v>
      </c>
      <c r="E9" s="96" t="s">
        <v>86</v>
      </c>
      <c r="F9" s="99">
        <v>45789</v>
      </c>
      <c r="G9" s="99">
        <v>45793</v>
      </c>
      <c r="H9" s="99"/>
      <c r="I9" s="98">
        <v>0.54166666666666663</v>
      </c>
      <c r="J9" s="98"/>
      <c r="K9" s="98"/>
      <c r="L9" s="98"/>
      <c r="M9" s="98"/>
      <c r="N9" s="98"/>
      <c r="O9" s="96" t="s">
        <v>459</v>
      </c>
      <c r="P9" s="96"/>
      <c r="Q9" s="15">
        <v>45</v>
      </c>
      <c r="R9" s="211">
        <v>5</v>
      </c>
      <c r="S9" s="15"/>
      <c r="T9" s="100"/>
      <c r="U9" s="15"/>
      <c r="V9" s="15"/>
      <c r="W9" s="15"/>
      <c r="X9" s="96"/>
      <c r="Y9" s="69">
        <f ca="1">Table29[[#This Row],[5/9/2025]]+2-TODAY()</f>
        <v>18</v>
      </c>
      <c r="Z9" s="15">
        <f>IF(ISBLANK(Table29[[#This Row],[Roster Received By]]),1,0)</f>
        <v>1</v>
      </c>
      <c r="AA9" s="15">
        <f ca="1">IF(Table29[[#This Row],[5/5/2025]]&gt;TODAY(),1,)</f>
        <v>1</v>
      </c>
    </row>
    <row r="10" spans="1:27" s="103" customFormat="1" ht="14.25" customHeight="1" x14ac:dyDescent="0.25">
      <c r="A10" s="64"/>
      <c r="B10" s="96" t="s">
        <v>15</v>
      </c>
      <c r="C10" s="97" t="s">
        <v>87</v>
      </c>
      <c r="D10" s="97" t="s">
        <v>88</v>
      </c>
      <c r="E10" s="96" t="s">
        <v>86</v>
      </c>
      <c r="F10" s="99">
        <v>45831</v>
      </c>
      <c r="G10" s="99">
        <v>45835</v>
      </c>
      <c r="H10" s="102"/>
      <c r="I10" s="98">
        <v>0.54166666666666663</v>
      </c>
      <c r="J10" s="99"/>
      <c r="K10" s="99"/>
      <c r="L10" s="99"/>
      <c r="M10" s="99"/>
      <c r="N10" s="99"/>
      <c r="O10" s="96" t="s">
        <v>459</v>
      </c>
      <c r="P10" s="96"/>
      <c r="Q10" s="15">
        <v>45</v>
      </c>
      <c r="R10" s="211">
        <v>5</v>
      </c>
      <c r="S10" s="100"/>
      <c r="T10" s="100"/>
      <c r="U10" s="15"/>
      <c r="V10" s="15"/>
      <c r="W10" s="97"/>
      <c r="X10" s="96"/>
      <c r="Y10" s="106">
        <f ca="1">Table29[[#This Row],[5/9/2025]]+2-TODAY()</f>
        <v>60</v>
      </c>
      <c r="Z10" s="15">
        <f>IF(ISBLANK(Table29[[#This Row],[Roster Received By]]),1,0)</f>
        <v>1</v>
      </c>
      <c r="AA10" s="97">
        <f ca="1">IF(Table29[[#This Row],[5/5/2025]]&gt;TODAY(),1,)</f>
        <v>1</v>
      </c>
    </row>
    <row r="11" spans="1:27" s="103" customFormat="1" ht="16.5" customHeight="1" x14ac:dyDescent="0.25">
      <c r="A11" s="97"/>
      <c r="B11" s="96" t="s">
        <v>15</v>
      </c>
      <c r="C11" s="97" t="s">
        <v>87</v>
      </c>
      <c r="D11" s="97" t="s">
        <v>88</v>
      </c>
      <c r="E11" s="96" t="s">
        <v>86</v>
      </c>
      <c r="F11" s="99">
        <v>45859</v>
      </c>
      <c r="G11" s="99">
        <v>45863</v>
      </c>
      <c r="H11" s="105"/>
      <c r="I11" s="98">
        <v>0.54166666666666663</v>
      </c>
      <c r="J11" s="99"/>
      <c r="K11" s="99"/>
      <c r="L11" s="99"/>
      <c r="M11" s="99"/>
      <c r="N11" s="99"/>
      <c r="O11" s="96" t="s">
        <v>459</v>
      </c>
      <c r="P11" s="96"/>
      <c r="Q11" s="15">
        <v>45</v>
      </c>
      <c r="R11" s="211">
        <v>5</v>
      </c>
      <c r="S11" s="104"/>
      <c r="T11" s="100"/>
      <c r="U11" s="15"/>
      <c r="V11" s="15"/>
      <c r="W11" s="15"/>
      <c r="X11" s="96"/>
      <c r="Y11" s="69">
        <f ca="1">Table29[[#This Row],[5/9/2025]]+2-TODAY()</f>
        <v>88</v>
      </c>
      <c r="Z11" s="15">
        <f>IF(ISBLANK(Table29[[#This Row],[Roster Received By]]),1,0)</f>
        <v>1</v>
      </c>
      <c r="AA11" s="15">
        <f ca="1">IF(Table29[[#This Row],[5/5/2025]]&gt;TODAY(),1,)</f>
        <v>1</v>
      </c>
    </row>
    <row r="12" spans="1:27" s="103" customFormat="1" ht="14.25" customHeight="1" x14ac:dyDescent="0.25">
      <c r="A12" s="61"/>
      <c r="B12" s="96" t="s">
        <v>15</v>
      </c>
      <c r="C12" s="97" t="s">
        <v>87</v>
      </c>
      <c r="D12" s="97" t="s">
        <v>88</v>
      </c>
      <c r="E12" s="96" t="s">
        <v>86</v>
      </c>
      <c r="F12" s="99">
        <v>45873</v>
      </c>
      <c r="G12" s="99">
        <v>45877</v>
      </c>
      <c r="H12" s="105"/>
      <c r="I12" s="98">
        <v>0.54166666666666663</v>
      </c>
      <c r="J12" s="99"/>
      <c r="K12" s="99"/>
      <c r="L12" s="99"/>
      <c r="M12" s="99"/>
      <c r="N12" s="99"/>
      <c r="O12" s="96" t="s">
        <v>272</v>
      </c>
      <c r="P12" s="96"/>
      <c r="Q12" s="15">
        <v>45</v>
      </c>
      <c r="R12" s="211">
        <v>5</v>
      </c>
      <c r="S12" s="15"/>
      <c r="T12" s="100"/>
      <c r="U12" s="15"/>
      <c r="V12" s="15"/>
      <c r="W12" s="15"/>
      <c r="X12" s="96"/>
      <c r="Y12" s="69">
        <f ca="1">Table29[[#This Row],[5/9/2025]]+2-TODAY()</f>
        <v>102</v>
      </c>
      <c r="Z12" s="15">
        <f>IF(ISBLANK(Table29[[#This Row],[Roster Received By]]),1,0)</f>
        <v>1</v>
      </c>
      <c r="AA12" s="15">
        <f ca="1">IF(Table29[[#This Row],[5/5/2025]]&gt;TODAY(),1,)</f>
        <v>1</v>
      </c>
    </row>
    <row r="13" spans="1:27" s="103" customFormat="1" ht="16.5" customHeight="1" x14ac:dyDescent="0.25">
      <c r="A13" s="96"/>
      <c r="B13" s="96" t="s">
        <v>17</v>
      </c>
      <c r="C13" s="97" t="s">
        <v>112</v>
      </c>
      <c r="D13" s="97">
        <v>3682</v>
      </c>
      <c r="E13" s="96" t="s">
        <v>177</v>
      </c>
      <c r="F13" s="99">
        <v>45663</v>
      </c>
      <c r="G13" s="99">
        <v>45667</v>
      </c>
      <c r="H13" s="102">
        <v>0.33333333333333331</v>
      </c>
      <c r="I13" s="102"/>
      <c r="J13" s="99"/>
      <c r="K13" s="99"/>
      <c r="L13" s="99"/>
      <c r="M13" s="99"/>
      <c r="N13" s="99"/>
      <c r="O13" s="96" t="s">
        <v>280</v>
      </c>
      <c r="P13" s="96"/>
      <c r="Q13" s="100">
        <v>40</v>
      </c>
      <c r="R13" s="101">
        <v>5</v>
      </c>
      <c r="S13" s="100"/>
      <c r="T13" s="100"/>
      <c r="U13" s="15"/>
      <c r="V13" s="15"/>
      <c r="W13" s="15"/>
      <c r="X13" s="96"/>
      <c r="Y13" s="69">
        <f ca="1">Table29[[#This Row],[5/9/2025]]+2-TODAY()</f>
        <v>-108</v>
      </c>
      <c r="Z13" s="15">
        <f>IF(ISBLANK(Table29[[#This Row],[Roster Received By]]),1,0)</f>
        <v>1</v>
      </c>
      <c r="AA13" s="15">
        <f ca="1">IF(Table29[[#This Row],[5/5/2025]]&gt;TODAY(),1,)</f>
        <v>0</v>
      </c>
    </row>
    <row r="14" spans="1:27" s="103" customFormat="1" ht="14.25" customHeight="1" x14ac:dyDescent="0.25">
      <c r="A14" s="96"/>
      <c r="B14" s="96" t="s">
        <v>17</v>
      </c>
      <c r="C14" s="97" t="s">
        <v>112</v>
      </c>
      <c r="D14" s="97">
        <v>3682</v>
      </c>
      <c r="E14" s="96" t="s">
        <v>205</v>
      </c>
      <c r="F14" s="107">
        <v>45670</v>
      </c>
      <c r="G14" s="107">
        <v>45674</v>
      </c>
      <c r="H14" s="102">
        <v>0.33333333333333331</v>
      </c>
      <c r="I14" s="102"/>
      <c r="J14" s="99"/>
      <c r="K14" s="99"/>
      <c r="L14" s="99"/>
      <c r="M14" s="99"/>
      <c r="N14" s="99"/>
      <c r="O14" s="96" t="s">
        <v>280</v>
      </c>
      <c r="P14" s="96"/>
      <c r="Q14" s="15">
        <v>40</v>
      </c>
      <c r="R14" s="15">
        <v>5</v>
      </c>
      <c r="S14" s="100"/>
      <c r="T14" s="100"/>
      <c r="U14" s="15"/>
      <c r="V14" s="15"/>
      <c r="W14" s="15"/>
      <c r="X14" s="96"/>
      <c r="Y14" s="69">
        <f ca="1">Table29[[#This Row],[5/9/2025]]+2-TODAY()</f>
        <v>-101</v>
      </c>
      <c r="Z14" s="15">
        <f>IF(ISBLANK(Table29[[#This Row],[Roster Received By]]),1,0)</f>
        <v>1</v>
      </c>
      <c r="AA14" s="15">
        <f ca="1">IF(Table29[[#This Row],[5/5/2025]]&gt;TODAY(),1,)</f>
        <v>0</v>
      </c>
    </row>
    <row r="15" spans="1:27" s="103" customFormat="1" ht="14.25" customHeight="1" x14ac:dyDescent="0.25">
      <c r="A15" s="97"/>
      <c r="B15" s="96" t="s">
        <v>17</v>
      </c>
      <c r="C15" s="97" t="s">
        <v>112</v>
      </c>
      <c r="D15" s="97">
        <v>3682</v>
      </c>
      <c r="E15" s="96" t="s">
        <v>212</v>
      </c>
      <c r="F15" s="99">
        <v>45691</v>
      </c>
      <c r="G15" s="99">
        <v>45695</v>
      </c>
      <c r="H15" s="102">
        <v>0.33333333333333331</v>
      </c>
      <c r="I15" s="102"/>
      <c r="J15" s="99"/>
      <c r="K15" s="99"/>
      <c r="L15" s="99"/>
      <c r="M15" s="99"/>
      <c r="N15" s="99"/>
      <c r="O15" s="96" t="s">
        <v>280</v>
      </c>
      <c r="P15" s="96"/>
      <c r="Q15" s="101">
        <v>40</v>
      </c>
      <c r="R15" s="101">
        <v>5</v>
      </c>
      <c r="S15" s="101"/>
      <c r="T15" s="101"/>
      <c r="U15" s="97"/>
      <c r="V15" s="97"/>
      <c r="W15" s="101"/>
      <c r="X15" s="97"/>
      <c r="Y15" s="106">
        <f ca="1">Table29[[#This Row],[5/9/2025]]+2-TODAY()</f>
        <v>-80</v>
      </c>
      <c r="Z15" s="97">
        <f>IF(ISBLANK(Table29[[#This Row],[Roster Received By]]),1,0)</f>
        <v>1</v>
      </c>
      <c r="AA15" s="97">
        <f ca="1">IF(Table29[[#This Row],[5/5/2025]]&gt;TODAY(),1,)</f>
        <v>0</v>
      </c>
    </row>
    <row r="16" spans="1:27" s="103" customFormat="1" ht="14.25" customHeight="1" x14ac:dyDescent="0.25">
      <c r="A16" s="97"/>
      <c r="B16" s="96" t="s">
        <v>17</v>
      </c>
      <c r="C16" s="97" t="s">
        <v>112</v>
      </c>
      <c r="D16" s="97">
        <v>3682</v>
      </c>
      <c r="E16" s="96" t="s">
        <v>173</v>
      </c>
      <c r="F16" s="99">
        <v>45712</v>
      </c>
      <c r="G16" s="99">
        <v>45716</v>
      </c>
      <c r="H16" s="102">
        <v>0.33333333333333331</v>
      </c>
      <c r="I16" s="102"/>
      <c r="J16" s="99"/>
      <c r="K16" s="99"/>
      <c r="L16" s="99"/>
      <c r="M16" s="99"/>
      <c r="N16" s="99"/>
      <c r="O16" s="96" t="s">
        <v>280</v>
      </c>
      <c r="P16" s="96"/>
      <c r="Q16" s="101">
        <v>40</v>
      </c>
      <c r="R16" s="101">
        <v>5</v>
      </c>
      <c r="S16" s="101"/>
      <c r="T16" s="101"/>
      <c r="U16" s="97"/>
      <c r="V16" s="97"/>
      <c r="W16" s="101"/>
      <c r="X16" s="97"/>
      <c r="Y16" s="106">
        <f ca="1">Table29[[#This Row],[5/9/2025]]+2-TODAY()</f>
        <v>-59</v>
      </c>
      <c r="Z16" s="97">
        <f>IF(ISBLANK(Table29[[#This Row],[Roster Received By]]),1,0)</f>
        <v>1</v>
      </c>
      <c r="AA16" s="97">
        <f ca="1">IF(Table29[[#This Row],[5/5/2025]]&gt;TODAY(),1,)</f>
        <v>0</v>
      </c>
    </row>
    <row r="17" spans="1:27" s="135" customFormat="1" ht="14.25" customHeight="1" x14ac:dyDescent="0.25">
      <c r="A17" s="97"/>
      <c r="B17" s="96" t="s">
        <v>17</v>
      </c>
      <c r="C17" s="97" t="s">
        <v>112</v>
      </c>
      <c r="D17" s="97">
        <v>3682</v>
      </c>
      <c r="E17" s="96" t="s">
        <v>178</v>
      </c>
      <c r="F17" s="99">
        <v>45726</v>
      </c>
      <c r="G17" s="99">
        <v>45730</v>
      </c>
      <c r="H17" s="102">
        <v>0.33333333333333331</v>
      </c>
      <c r="I17" s="102"/>
      <c r="J17" s="99"/>
      <c r="K17" s="99"/>
      <c r="L17" s="99"/>
      <c r="M17" s="99"/>
      <c r="N17" s="99"/>
      <c r="O17" s="96" t="s">
        <v>280</v>
      </c>
      <c r="P17" s="96"/>
      <c r="Q17" s="101">
        <v>40</v>
      </c>
      <c r="R17" s="101">
        <v>5</v>
      </c>
      <c r="S17" s="101"/>
      <c r="T17" s="101"/>
      <c r="U17" s="97"/>
      <c r="V17" s="97"/>
      <c r="W17" s="101"/>
      <c r="X17" s="97"/>
      <c r="Y17" s="106">
        <f ca="1">Table29[[#This Row],[5/9/2025]]+2-TODAY()</f>
        <v>-45</v>
      </c>
      <c r="Z17" s="97">
        <f>IF(ISBLANK(Table29[[#This Row],[Roster Received By]]),1,0)</f>
        <v>1</v>
      </c>
      <c r="AA17" s="97">
        <f ca="1">IF(Table29[[#This Row],[5/5/2025]]&gt;TODAY(),1,)</f>
        <v>0</v>
      </c>
    </row>
    <row r="18" spans="1:27" s="103" customFormat="1" ht="16.5" customHeight="1" x14ac:dyDescent="0.25">
      <c r="A18" s="97"/>
      <c r="B18" s="96" t="s">
        <v>17</v>
      </c>
      <c r="C18" s="97" t="s">
        <v>112</v>
      </c>
      <c r="D18" s="97">
        <v>3682</v>
      </c>
      <c r="E18" s="96" t="s">
        <v>192</v>
      </c>
      <c r="F18" s="99">
        <v>45733</v>
      </c>
      <c r="G18" s="99">
        <v>45737</v>
      </c>
      <c r="H18" s="102">
        <v>0.33333333333333331</v>
      </c>
      <c r="I18" s="102"/>
      <c r="J18" s="99"/>
      <c r="K18" s="99"/>
      <c r="L18" s="99"/>
      <c r="M18" s="99"/>
      <c r="N18" s="99"/>
      <c r="O18" s="96" t="s">
        <v>280</v>
      </c>
      <c r="P18" s="96"/>
      <c r="Q18" s="101">
        <v>40</v>
      </c>
      <c r="R18" s="101">
        <v>5</v>
      </c>
      <c r="S18" s="101"/>
      <c r="T18" s="101"/>
      <c r="U18" s="97"/>
      <c r="V18" s="97"/>
      <c r="W18" s="101"/>
      <c r="X18" s="97"/>
      <c r="Y18" s="106">
        <f ca="1">Table29[[#This Row],[5/9/2025]]+2-TODAY()</f>
        <v>-38</v>
      </c>
      <c r="Z18" s="97">
        <f>IF(ISBLANK(Table29[[#This Row],[Roster Received By]]),1,0)</f>
        <v>1</v>
      </c>
      <c r="AA18" s="97">
        <f ca="1">IF(Table29[[#This Row],[5/5/2025]]&gt;TODAY(),1,)</f>
        <v>0</v>
      </c>
    </row>
    <row r="19" spans="1:27" s="103" customFormat="1" ht="16.5" customHeight="1" x14ac:dyDescent="0.25">
      <c r="A19" s="97"/>
      <c r="B19" s="96" t="s">
        <v>17</v>
      </c>
      <c r="C19" s="97" t="s">
        <v>112</v>
      </c>
      <c r="D19" s="97">
        <v>3682</v>
      </c>
      <c r="E19" s="96" t="s">
        <v>203</v>
      </c>
      <c r="F19" s="99">
        <v>45747</v>
      </c>
      <c r="G19" s="99">
        <v>45751</v>
      </c>
      <c r="H19" s="102">
        <v>0.33333333333333331</v>
      </c>
      <c r="I19" s="102"/>
      <c r="J19" s="99"/>
      <c r="K19" s="99"/>
      <c r="L19" s="99"/>
      <c r="M19" s="99"/>
      <c r="N19" s="99"/>
      <c r="O19" s="96" t="s">
        <v>280</v>
      </c>
      <c r="P19" s="96"/>
      <c r="Q19" s="101">
        <v>40</v>
      </c>
      <c r="R19" s="101">
        <v>5</v>
      </c>
      <c r="S19" s="101"/>
      <c r="T19" s="101"/>
      <c r="U19" s="97"/>
      <c r="V19" s="97"/>
      <c r="W19" s="101"/>
      <c r="X19" s="97"/>
      <c r="Y19" s="106">
        <f ca="1">Table29[[#This Row],[5/9/2025]]+2-TODAY()</f>
        <v>-24</v>
      </c>
      <c r="Z19" s="97">
        <f>IF(ISBLANK(Table29[[#This Row],[Roster Received By]]),1,0)</f>
        <v>1</v>
      </c>
      <c r="AA19" s="97">
        <f ca="1">IF(Table29[[#This Row],[5/5/2025]]&gt;TODAY(),1,)</f>
        <v>0</v>
      </c>
    </row>
    <row r="20" spans="1:27" s="103" customFormat="1" ht="16.5" customHeight="1" x14ac:dyDescent="0.25">
      <c r="A20" s="97" t="s">
        <v>460</v>
      </c>
      <c r="B20" s="96" t="s">
        <v>17</v>
      </c>
      <c r="C20" s="97" t="s">
        <v>112</v>
      </c>
      <c r="D20" s="97">
        <v>3682</v>
      </c>
      <c r="E20" s="96" t="s">
        <v>186</v>
      </c>
      <c r="F20" s="99">
        <v>45754</v>
      </c>
      <c r="G20" s="99">
        <v>45758</v>
      </c>
      <c r="H20" s="102">
        <v>0.33333333333333331</v>
      </c>
      <c r="I20" s="102"/>
      <c r="J20" s="99"/>
      <c r="K20" s="99"/>
      <c r="L20" s="99"/>
      <c r="M20" s="99"/>
      <c r="N20" s="99"/>
      <c r="O20" s="96" t="s">
        <v>280</v>
      </c>
      <c r="P20" s="96"/>
      <c r="Q20" s="101">
        <v>40</v>
      </c>
      <c r="R20" s="101">
        <v>5</v>
      </c>
      <c r="S20" s="101"/>
      <c r="T20" s="101"/>
      <c r="U20" s="97"/>
      <c r="V20" s="97"/>
      <c r="W20" s="101"/>
      <c r="X20" s="97"/>
      <c r="Y20" s="106">
        <f ca="1">Table29[[#This Row],[5/9/2025]]+2-TODAY()</f>
        <v>-17</v>
      </c>
      <c r="Z20" s="97">
        <f>IF(ISBLANK(Table29[[#This Row],[Roster Received By]]),1,0)</f>
        <v>1</v>
      </c>
      <c r="AA20" s="97">
        <f ca="1">IF(Table29[[#This Row],[5/5/2025]]&gt;TODAY(),1,)</f>
        <v>0</v>
      </c>
    </row>
    <row r="21" spans="1:27" s="103" customFormat="1" ht="16.5" customHeight="1" x14ac:dyDescent="0.25">
      <c r="A21" s="97"/>
      <c r="B21" s="96" t="s">
        <v>17</v>
      </c>
      <c r="C21" s="97" t="s">
        <v>112</v>
      </c>
      <c r="D21" s="97">
        <v>3682</v>
      </c>
      <c r="E21" s="96" t="s">
        <v>213</v>
      </c>
      <c r="F21" s="99">
        <v>45754</v>
      </c>
      <c r="G21" s="99">
        <v>45758</v>
      </c>
      <c r="H21" s="102">
        <v>0.33333333333333331</v>
      </c>
      <c r="I21" s="102"/>
      <c r="J21" s="99"/>
      <c r="K21" s="99"/>
      <c r="L21" s="99"/>
      <c r="M21" s="99"/>
      <c r="N21" s="99"/>
      <c r="O21" s="96" t="s">
        <v>280</v>
      </c>
      <c r="P21" s="96"/>
      <c r="Q21" s="101">
        <v>40</v>
      </c>
      <c r="R21" s="101">
        <v>5</v>
      </c>
      <c r="S21" s="101"/>
      <c r="T21" s="101"/>
      <c r="U21" s="97"/>
      <c r="V21" s="97"/>
      <c r="W21" s="101"/>
      <c r="X21" s="97"/>
      <c r="Y21" s="106">
        <f ca="1">Table29[[#This Row],[5/9/2025]]+2-TODAY()</f>
        <v>-17</v>
      </c>
      <c r="Z21" s="97">
        <f>IF(ISBLANK(Table29[[#This Row],[Roster Received By]]),1,0)</f>
        <v>1</v>
      </c>
      <c r="AA21" s="97">
        <f ca="1">IF(Table29[[#This Row],[5/5/2025]]&gt;TODAY(),1,)</f>
        <v>0</v>
      </c>
    </row>
    <row r="22" spans="1:27" s="103" customFormat="1" ht="16.5" customHeight="1" x14ac:dyDescent="0.25">
      <c r="A22" s="97"/>
      <c r="B22" s="96" t="s">
        <v>17</v>
      </c>
      <c r="C22" s="97" t="s">
        <v>112</v>
      </c>
      <c r="D22" s="97">
        <v>3682</v>
      </c>
      <c r="E22" s="96" t="s">
        <v>187</v>
      </c>
      <c r="F22" s="99">
        <v>45761</v>
      </c>
      <c r="G22" s="99">
        <v>45765</v>
      </c>
      <c r="H22" s="102">
        <v>0.33333333333333331</v>
      </c>
      <c r="I22" s="102"/>
      <c r="J22" s="99"/>
      <c r="K22" s="99"/>
      <c r="L22" s="99"/>
      <c r="M22" s="99"/>
      <c r="N22" s="99"/>
      <c r="O22" s="96" t="s">
        <v>280</v>
      </c>
      <c r="P22" s="96"/>
      <c r="Q22" s="101">
        <v>40</v>
      </c>
      <c r="R22" s="101">
        <v>5</v>
      </c>
      <c r="S22" s="101"/>
      <c r="T22" s="101"/>
      <c r="U22" s="97"/>
      <c r="V22" s="97"/>
      <c r="W22" s="101"/>
      <c r="X22" s="97"/>
      <c r="Y22" s="106">
        <f ca="1">Table29[[#This Row],[5/9/2025]]+2-TODAY()</f>
        <v>-10</v>
      </c>
      <c r="Z22" s="97">
        <f>IF(ISBLANK(Table29[[#This Row],[Roster Received By]]),1,0)</f>
        <v>1</v>
      </c>
      <c r="AA22" s="97">
        <f ca="1">IF(Table29[[#This Row],[5/5/2025]]&gt;TODAY(),1,)</f>
        <v>0</v>
      </c>
    </row>
    <row r="23" spans="1:27" s="103" customFormat="1" ht="14.25" customHeight="1" x14ac:dyDescent="0.25">
      <c r="A23" s="97" t="s">
        <v>461</v>
      </c>
      <c r="B23" s="96" t="s">
        <v>17</v>
      </c>
      <c r="C23" s="97" t="s">
        <v>112</v>
      </c>
      <c r="D23" s="97">
        <v>3682</v>
      </c>
      <c r="E23" s="96" t="s">
        <v>220</v>
      </c>
      <c r="F23" s="99">
        <v>45768</v>
      </c>
      <c r="G23" s="99">
        <v>45772</v>
      </c>
      <c r="H23" s="102">
        <v>0.33333333333333331</v>
      </c>
      <c r="I23" s="102"/>
      <c r="J23" s="99"/>
      <c r="K23" s="99"/>
      <c r="L23" s="99"/>
      <c r="M23" s="99"/>
      <c r="N23" s="99"/>
      <c r="O23" s="96" t="s">
        <v>280</v>
      </c>
      <c r="P23" s="96"/>
      <c r="Q23" s="101">
        <v>40</v>
      </c>
      <c r="R23" s="101">
        <v>5</v>
      </c>
      <c r="S23" s="101"/>
      <c r="T23" s="101"/>
      <c r="U23" s="97"/>
      <c r="V23" s="97"/>
      <c r="W23" s="101"/>
      <c r="X23" s="97"/>
      <c r="Y23" s="106">
        <f ca="1">Table29[[#This Row],[5/9/2025]]+2-TODAY()</f>
        <v>-3</v>
      </c>
      <c r="Z23" s="97">
        <f>IF(ISBLANK(Table29[[#This Row],[Roster Received By]]),1,0)</f>
        <v>1</v>
      </c>
      <c r="AA23" s="97">
        <f ca="1">IF(Table29[[#This Row],[5/5/2025]]&gt;TODAY(),1,)</f>
        <v>0</v>
      </c>
    </row>
    <row r="24" spans="1:27" s="103" customFormat="1" ht="14.25" customHeight="1" x14ac:dyDescent="0.25">
      <c r="A24" s="97"/>
      <c r="B24" s="96" t="s">
        <v>17</v>
      </c>
      <c r="C24" s="97" t="s">
        <v>112</v>
      </c>
      <c r="D24" s="97">
        <v>3682</v>
      </c>
      <c r="E24" s="96" t="s">
        <v>164</v>
      </c>
      <c r="F24" s="99">
        <v>45796</v>
      </c>
      <c r="G24" s="99">
        <v>45800</v>
      </c>
      <c r="H24" s="102">
        <v>0.33333333333333331</v>
      </c>
      <c r="I24" s="102"/>
      <c r="J24" s="99"/>
      <c r="K24" s="99"/>
      <c r="L24" s="99"/>
      <c r="M24" s="99"/>
      <c r="N24" s="99"/>
      <c r="O24" s="96" t="s">
        <v>280</v>
      </c>
      <c r="P24" s="96"/>
      <c r="Q24" s="101">
        <v>40</v>
      </c>
      <c r="R24" s="101">
        <v>5</v>
      </c>
      <c r="S24" s="101"/>
      <c r="T24" s="101"/>
      <c r="U24" s="97"/>
      <c r="V24" s="97"/>
      <c r="W24" s="101"/>
      <c r="X24" s="97"/>
      <c r="Y24" s="106">
        <f ca="1">Table29[[#This Row],[5/9/2025]]+2-TODAY()</f>
        <v>25</v>
      </c>
      <c r="Z24" s="97">
        <f>IF(ISBLANK(Table29[[#This Row],[Roster Received By]]),1,0)</f>
        <v>1</v>
      </c>
      <c r="AA24" s="97">
        <f ca="1">IF(Table29[[#This Row],[5/5/2025]]&gt;TODAY(),1,)</f>
        <v>1</v>
      </c>
    </row>
    <row r="25" spans="1:27" s="103" customFormat="1" ht="16.5" customHeight="1" x14ac:dyDescent="0.25">
      <c r="A25" s="97"/>
      <c r="B25" s="96" t="s">
        <v>17</v>
      </c>
      <c r="C25" s="97" t="s">
        <v>112</v>
      </c>
      <c r="D25" s="97">
        <v>3682</v>
      </c>
      <c r="E25" s="96" t="s">
        <v>170</v>
      </c>
      <c r="F25" s="99">
        <v>45817</v>
      </c>
      <c r="G25" s="99">
        <v>45913</v>
      </c>
      <c r="H25" s="102">
        <v>0.33333333333333331</v>
      </c>
      <c r="I25" s="102"/>
      <c r="J25" s="99"/>
      <c r="K25" s="99"/>
      <c r="L25" s="99"/>
      <c r="M25" s="99"/>
      <c r="N25" s="99"/>
      <c r="O25" s="96" t="s">
        <v>280</v>
      </c>
      <c r="P25" s="96"/>
      <c r="Q25" s="101">
        <v>40</v>
      </c>
      <c r="R25" s="101">
        <v>5</v>
      </c>
      <c r="S25" s="101"/>
      <c r="T25" s="101"/>
      <c r="U25" s="97"/>
      <c r="V25" s="97"/>
      <c r="W25" s="101"/>
      <c r="X25" s="97"/>
      <c r="Y25" s="106">
        <f ca="1">Table29[[#This Row],[5/9/2025]]+2-TODAY()</f>
        <v>138</v>
      </c>
      <c r="Z25" s="97">
        <f>IF(ISBLANK(Table29[[#This Row],[Roster Received By]]),1,0)</f>
        <v>1</v>
      </c>
      <c r="AA25" s="97">
        <f ca="1">IF(Table29[[#This Row],[5/5/2025]]&gt;TODAY(),1,)</f>
        <v>1</v>
      </c>
    </row>
    <row r="26" spans="1:27" s="103" customFormat="1" ht="16.5" customHeight="1" x14ac:dyDescent="0.25">
      <c r="A26" s="97"/>
      <c r="B26" s="96" t="s">
        <v>17</v>
      </c>
      <c r="C26" s="97" t="s">
        <v>112</v>
      </c>
      <c r="D26" s="97">
        <v>3682</v>
      </c>
      <c r="E26" s="96" t="s">
        <v>182</v>
      </c>
      <c r="F26" s="99">
        <v>45817</v>
      </c>
      <c r="G26" s="99">
        <v>45821</v>
      </c>
      <c r="H26" s="102">
        <v>0.33333333333333331</v>
      </c>
      <c r="I26" s="102"/>
      <c r="J26" s="99"/>
      <c r="K26" s="99"/>
      <c r="L26" s="99"/>
      <c r="M26" s="99"/>
      <c r="N26" s="99"/>
      <c r="O26" s="96" t="s">
        <v>280</v>
      </c>
      <c r="P26" s="96"/>
      <c r="Q26" s="101">
        <v>40</v>
      </c>
      <c r="R26" s="101">
        <v>5</v>
      </c>
      <c r="S26" s="101"/>
      <c r="T26" s="101"/>
      <c r="U26" s="97"/>
      <c r="V26" s="97"/>
      <c r="W26" s="101"/>
      <c r="X26" s="97"/>
      <c r="Y26" s="106">
        <f ca="1">Table29[[#This Row],[5/9/2025]]+2-TODAY()</f>
        <v>46</v>
      </c>
      <c r="Z26" s="97">
        <f>IF(ISBLANK(Table29[[#This Row],[Roster Received By]]),1,0)</f>
        <v>1</v>
      </c>
      <c r="AA26" s="97">
        <f ca="1">IF(Table29[[#This Row],[5/5/2025]]&gt;TODAY(),1,)</f>
        <v>1</v>
      </c>
    </row>
    <row r="27" spans="1:27" s="103" customFormat="1" ht="16.5" customHeight="1" x14ac:dyDescent="0.25">
      <c r="A27" s="97"/>
      <c r="B27" s="96" t="s">
        <v>17</v>
      </c>
      <c r="C27" s="97" t="s">
        <v>112</v>
      </c>
      <c r="D27" s="97">
        <v>3682</v>
      </c>
      <c r="E27" s="96" t="s">
        <v>162</v>
      </c>
      <c r="F27" s="99">
        <v>45873</v>
      </c>
      <c r="G27" s="99">
        <v>45877</v>
      </c>
      <c r="H27" s="102">
        <v>0.33333333333333331</v>
      </c>
      <c r="I27" s="102"/>
      <c r="J27" s="99"/>
      <c r="K27" s="99"/>
      <c r="L27" s="99"/>
      <c r="M27" s="99"/>
      <c r="N27" s="99"/>
      <c r="O27" s="96" t="s">
        <v>280</v>
      </c>
      <c r="P27" s="96"/>
      <c r="Q27" s="101">
        <v>40</v>
      </c>
      <c r="R27" s="101">
        <v>5</v>
      </c>
      <c r="S27" s="101"/>
      <c r="T27" s="101"/>
      <c r="U27" s="97"/>
      <c r="V27" s="97"/>
      <c r="W27" s="101"/>
      <c r="X27" s="97"/>
      <c r="Y27" s="106">
        <f ca="1">Table29[[#This Row],[5/9/2025]]+2-TODAY()</f>
        <v>102</v>
      </c>
      <c r="Z27" s="97">
        <f>IF(ISBLANK(Table29[[#This Row],[Roster Received By]]),1,0)</f>
        <v>1</v>
      </c>
      <c r="AA27" s="97">
        <f ca="1">IF(Table29[[#This Row],[5/5/2025]]&gt;TODAY(),1,)</f>
        <v>1</v>
      </c>
    </row>
    <row r="28" spans="1:27" s="103" customFormat="1" ht="14.25" customHeight="1" x14ac:dyDescent="0.25">
      <c r="A28" s="97"/>
      <c r="B28" s="96" t="s">
        <v>17</v>
      </c>
      <c r="C28" s="97" t="s">
        <v>112</v>
      </c>
      <c r="D28" s="97">
        <v>3682</v>
      </c>
      <c r="E28" s="96" t="s">
        <v>209</v>
      </c>
      <c r="F28" s="99">
        <v>45873</v>
      </c>
      <c r="G28" s="99">
        <v>45877</v>
      </c>
      <c r="H28" s="102">
        <v>0.33333333333333331</v>
      </c>
      <c r="I28" s="102"/>
      <c r="J28" s="99"/>
      <c r="K28" s="99"/>
      <c r="L28" s="99"/>
      <c r="M28" s="99"/>
      <c r="N28" s="99"/>
      <c r="O28" s="96" t="s">
        <v>280</v>
      </c>
      <c r="P28" s="96"/>
      <c r="Q28" s="101">
        <v>40</v>
      </c>
      <c r="R28" s="101">
        <v>5</v>
      </c>
      <c r="S28" s="101"/>
      <c r="T28" s="101"/>
      <c r="U28" s="97"/>
      <c r="V28" s="97"/>
      <c r="W28" s="101"/>
      <c r="X28" s="97"/>
      <c r="Y28" s="106">
        <f ca="1">Table29[[#This Row],[5/9/2025]]+2-TODAY()</f>
        <v>102</v>
      </c>
      <c r="Z28" s="97">
        <f>IF(ISBLANK(Table29[[#This Row],[Roster Received By]]),1,0)</f>
        <v>1</v>
      </c>
      <c r="AA28" s="97">
        <f ca="1">IF(Table29[[#This Row],[5/5/2025]]&gt;TODAY(),1,)</f>
        <v>1</v>
      </c>
    </row>
    <row r="29" spans="1:27" s="103" customFormat="1" ht="14.25" customHeight="1" x14ac:dyDescent="0.25">
      <c r="A29" s="97" t="s">
        <v>357</v>
      </c>
      <c r="B29" s="96" t="s">
        <v>17</v>
      </c>
      <c r="C29" s="97" t="s">
        <v>112</v>
      </c>
      <c r="D29" s="97">
        <v>3682</v>
      </c>
      <c r="E29" s="96" t="s">
        <v>176</v>
      </c>
      <c r="F29" s="99">
        <v>45880</v>
      </c>
      <c r="G29" s="99">
        <v>45884</v>
      </c>
      <c r="H29" s="102">
        <v>0.33333333333333331</v>
      </c>
      <c r="I29" s="102"/>
      <c r="J29" s="99"/>
      <c r="K29" s="99"/>
      <c r="L29" s="99"/>
      <c r="M29" s="99"/>
      <c r="N29" s="99"/>
      <c r="O29" s="96" t="s">
        <v>280</v>
      </c>
      <c r="P29" s="96"/>
      <c r="Q29" s="101">
        <v>40</v>
      </c>
      <c r="R29" s="101">
        <v>5</v>
      </c>
      <c r="S29" s="101"/>
      <c r="T29" s="101"/>
      <c r="U29" s="97"/>
      <c r="V29" s="97"/>
      <c r="W29" s="101"/>
      <c r="X29" s="97"/>
      <c r="Y29" s="106">
        <f ca="1">Table29[[#This Row],[5/9/2025]]+2-TODAY()</f>
        <v>109</v>
      </c>
      <c r="Z29" s="97">
        <f>IF(ISBLANK(Table29[[#This Row],[Roster Received By]]),1,0)</f>
        <v>1</v>
      </c>
      <c r="AA29" s="97">
        <f ca="1">IF(Table29[[#This Row],[5/5/2025]]&gt;TODAY(),1,)</f>
        <v>1</v>
      </c>
    </row>
    <row r="30" spans="1:27" s="103" customFormat="1" ht="14.25" customHeight="1" x14ac:dyDescent="0.25">
      <c r="A30" s="97"/>
      <c r="B30" s="96" t="s">
        <v>17</v>
      </c>
      <c r="C30" s="97" t="s">
        <v>112</v>
      </c>
      <c r="D30" s="97">
        <v>3682</v>
      </c>
      <c r="E30" s="96" t="s">
        <v>202</v>
      </c>
      <c r="F30" s="99">
        <v>45894</v>
      </c>
      <c r="G30" s="99">
        <v>45898</v>
      </c>
      <c r="H30" s="102">
        <v>0.33333333333333331</v>
      </c>
      <c r="I30" s="102"/>
      <c r="J30" s="99"/>
      <c r="K30" s="99"/>
      <c r="L30" s="99"/>
      <c r="M30" s="99"/>
      <c r="N30" s="99"/>
      <c r="O30" s="96" t="s">
        <v>280</v>
      </c>
      <c r="P30" s="96"/>
      <c r="Q30" s="101">
        <v>40</v>
      </c>
      <c r="R30" s="101">
        <v>5</v>
      </c>
      <c r="S30" s="101"/>
      <c r="T30" s="101"/>
      <c r="U30" s="97"/>
      <c r="V30" s="97"/>
      <c r="W30" s="101"/>
      <c r="X30" s="97"/>
      <c r="Y30" s="106">
        <f ca="1">Table29[[#This Row],[5/9/2025]]+2-TODAY()</f>
        <v>123</v>
      </c>
      <c r="Z30" s="97">
        <f>IF(ISBLANK(Table29[[#This Row],[Roster Received By]]),1,0)</f>
        <v>1</v>
      </c>
      <c r="AA30" s="97">
        <f ca="1">IF(Table29[[#This Row],[5/5/2025]]&gt;TODAY(),1,)</f>
        <v>1</v>
      </c>
    </row>
    <row r="31" spans="1:27" s="136" customFormat="1" ht="14.25" customHeight="1" x14ac:dyDescent="0.25">
      <c r="A31" s="97"/>
      <c r="B31" s="96" t="s">
        <v>17</v>
      </c>
      <c r="C31" s="97" t="s">
        <v>112</v>
      </c>
      <c r="D31" s="97">
        <v>3682</v>
      </c>
      <c r="E31" s="96" t="s">
        <v>178</v>
      </c>
      <c r="F31" s="99">
        <v>45908</v>
      </c>
      <c r="G31" s="99">
        <v>45912</v>
      </c>
      <c r="H31" s="102">
        <v>0.33333333333333331</v>
      </c>
      <c r="I31" s="102"/>
      <c r="J31" s="99"/>
      <c r="K31" s="99"/>
      <c r="L31" s="99"/>
      <c r="M31" s="99"/>
      <c r="N31" s="99"/>
      <c r="O31" s="96" t="s">
        <v>280</v>
      </c>
      <c r="P31" s="96"/>
      <c r="Q31" s="101">
        <v>40</v>
      </c>
      <c r="R31" s="101">
        <v>5</v>
      </c>
      <c r="S31" s="101"/>
      <c r="T31" s="101"/>
      <c r="U31" s="97"/>
      <c r="V31" s="97"/>
      <c r="W31" s="101"/>
      <c r="X31" s="97"/>
      <c r="Y31" s="106">
        <f ca="1">Table29[[#This Row],[5/9/2025]]+2-TODAY()</f>
        <v>137</v>
      </c>
      <c r="Z31" s="97">
        <f>IF(ISBLANK(Table29[[#This Row],[Roster Received By]]),1,0)</f>
        <v>1</v>
      </c>
      <c r="AA31" s="97">
        <f ca="1">IF(Table29[[#This Row],[5/5/2025]]&gt;TODAY(),1,)</f>
        <v>1</v>
      </c>
    </row>
    <row r="32" spans="1:27" s="132" customFormat="1" ht="14.25" customHeight="1" x14ac:dyDescent="0.25">
      <c r="A32" s="97" t="s">
        <v>462</v>
      </c>
      <c r="B32" s="96" t="s">
        <v>17</v>
      </c>
      <c r="C32" s="97" t="s">
        <v>112</v>
      </c>
      <c r="D32" s="97">
        <v>3682</v>
      </c>
      <c r="E32" s="96" t="s">
        <v>190</v>
      </c>
      <c r="F32" s="99">
        <v>45922</v>
      </c>
      <c r="G32" s="99">
        <v>45926</v>
      </c>
      <c r="H32" s="102">
        <v>0.33333333333333331</v>
      </c>
      <c r="I32" s="102"/>
      <c r="J32" s="99"/>
      <c r="K32" s="99"/>
      <c r="L32" s="99"/>
      <c r="M32" s="99"/>
      <c r="N32" s="99"/>
      <c r="O32" s="96" t="s">
        <v>280</v>
      </c>
      <c r="P32" s="96"/>
      <c r="Q32" s="101">
        <v>40</v>
      </c>
      <c r="R32" s="101">
        <v>5</v>
      </c>
      <c r="S32" s="101"/>
      <c r="T32" s="101"/>
      <c r="U32" s="97"/>
      <c r="V32" s="97"/>
      <c r="W32" s="101"/>
      <c r="X32" s="97"/>
      <c r="Y32" s="106">
        <f ca="1">Table29[[#This Row],[5/9/2025]]+2-TODAY()</f>
        <v>151</v>
      </c>
      <c r="Z32" s="97">
        <f>IF(ISBLANK(Table29[[#This Row],[Roster Received By]]),1,0)</f>
        <v>1</v>
      </c>
      <c r="AA32" s="97">
        <f ca="1">IF(Table29[[#This Row],[5/5/2025]]&gt;TODAY(),1,)</f>
        <v>1</v>
      </c>
    </row>
    <row r="33" spans="1:27" s="132" customFormat="1" ht="14.25" customHeight="1" x14ac:dyDescent="0.25">
      <c r="A33" s="97"/>
      <c r="B33" s="96" t="s">
        <v>17</v>
      </c>
      <c r="C33" s="97" t="s">
        <v>112</v>
      </c>
      <c r="D33" s="97">
        <v>3682</v>
      </c>
      <c r="E33" s="96" t="s">
        <v>162</v>
      </c>
      <c r="F33" s="99" t="s">
        <v>463</v>
      </c>
      <c r="G33" s="99">
        <v>45835</v>
      </c>
      <c r="H33" s="102">
        <v>0.33333333333333331</v>
      </c>
      <c r="I33" s="102"/>
      <c r="J33" s="99"/>
      <c r="K33" s="99"/>
      <c r="L33" s="99"/>
      <c r="M33" s="99"/>
      <c r="N33" s="99"/>
      <c r="O33" s="96" t="s">
        <v>280</v>
      </c>
      <c r="P33" s="96"/>
      <c r="Q33" s="101">
        <v>40</v>
      </c>
      <c r="R33" s="101">
        <v>5</v>
      </c>
      <c r="S33" s="101"/>
      <c r="T33" s="101"/>
      <c r="U33" s="97"/>
      <c r="V33" s="97"/>
      <c r="W33" s="101"/>
      <c r="X33" s="97"/>
      <c r="Y33" s="106">
        <f ca="1">Table29[[#This Row],[5/9/2025]]+2-TODAY()</f>
        <v>60</v>
      </c>
      <c r="Z33" s="97">
        <f>IF(ISBLANK(Table29[[#This Row],[Roster Received By]]),1,0)</f>
        <v>1</v>
      </c>
      <c r="AA33" s="97">
        <f ca="1">IF(Table29[[#This Row],[5/5/2025]]&gt;TODAY(),1,)</f>
        <v>1</v>
      </c>
    </row>
    <row r="34" spans="1:27" s="103" customFormat="1" ht="14.25" customHeight="1" x14ac:dyDescent="0.25">
      <c r="A34" s="302" t="s">
        <v>464</v>
      </c>
      <c r="B34" s="299" t="s">
        <v>17</v>
      </c>
      <c r="C34" s="97" t="s">
        <v>112</v>
      </c>
      <c r="D34" s="97">
        <v>3682</v>
      </c>
      <c r="E34" s="96" t="s">
        <v>224</v>
      </c>
      <c r="F34" s="99">
        <v>45733</v>
      </c>
      <c r="G34" s="99">
        <v>45737</v>
      </c>
      <c r="H34" s="102">
        <v>0.33333333333333331</v>
      </c>
      <c r="I34" s="102"/>
      <c r="J34" s="99"/>
      <c r="K34" s="99"/>
      <c r="L34" s="99"/>
      <c r="M34" s="99"/>
      <c r="N34" s="99"/>
      <c r="O34" s="96" t="s">
        <v>280</v>
      </c>
      <c r="P34" s="96"/>
      <c r="Q34" s="101">
        <v>40</v>
      </c>
      <c r="R34" s="101">
        <v>5</v>
      </c>
      <c r="S34" s="101"/>
      <c r="T34" s="101"/>
      <c r="U34" s="97"/>
      <c r="V34" s="97"/>
      <c r="W34" s="101"/>
      <c r="X34" s="97"/>
      <c r="Y34" s="106">
        <f ca="1">Table29[[#This Row],[5/9/2025]]+2-TODAY()</f>
        <v>-38</v>
      </c>
      <c r="Z34" s="97">
        <f>IF(ISBLANK(Table29[[#This Row],[Roster Received By]]),1,0)</f>
        <v>1</v>
      </c>
      <c r="AA34" s="97">
        <f ca="1">IF(Table29[[#This Row],[5/5/2025]]&gt;TODAY(),1,)</f>
        <v>0</v>
      </c>
    </row>
    <row r="35" spans="1:27" s="103" customFormat="1" ht="14.25" customHeight="1" x14ac:dyDescent="0.25">
      <c r="A35" s="302" t="s">
        <v>465</v>
      </c>
      <c r="B35" s="299" t="s">
        <v>17</v>
      </c>
      <c r="C35" s="97" t="s">
        <v>112</v>
      </c>
      <c r="D35" s="97">
        <v>3682</v>
      </c>
      <c r="E35" s="96" t="s">
        <v>211</v>
      </c>
      <c r="F35" s="99">
        <v>45849</v>
      </c>
      <c r="G35" s="99">
        <v>45853</v>
      </c>
      <c r="H35" s="102">
        <v>0.33333333333333331</v>
      </c>
      <c r="I35" s="102"/>
      <c r="J35" s="99"/>
      <c r="K35" s="99"/>
      <c r="L35" s="99"/>
      <c r="M35" s="99"/>
      <c r="N35" s="99"/>
      <c r="O35" s="96" t="s">
        <v>280</v>
      </c>
      <c r="P35" s="96"/>
      <c r="Q35" s="101">
        <v>40</v>
      </c>
      <c r="R35" s="101">
        <v>5</v>
      </c>
      <c r="S35" s="101"/>
      <c r="T35" s="101"/>
      <c r="U35" s="97"/>
      <c r="V35" s="97"/>
      <c r="W35" s="101"/>
      <c r="X35" s="97"/>
      <c r="Y35" s="106">
        <f ca="1">Table29[[#This Row],[5/9/2025]]+2-TODAY()</f>
        <v>78</v>
      </c>
      <c r="Z35" s="97">
        <f>IF(ISBLANK(Table29[[#This Row],[Roster Received By]]),1,0)</f>
        <v>1</v>
      </c>
      <c r="AA35" s="97">
        <f ca="1">IF(Table29[[#This Row],[5/5/2025]]&gt;TODAY(),1,)</f>
        <v>1</v>
      </c>
    </row>
    <row r="36" spans="1:27" s="103" customFormat="1" ht="14.25" customHeight="1" x14ac:dyDescent="0.25">
      <c r="A36" s="302" t="s">
        <v>466</v>
      </c>
      <c r="B36" s="299" t="s">
        <v>17</v>
      </c>
      <c r="C36" s="97" t="s">
        <v>112</v>
      </c>
      <c r="D36" s="97">
        <v>3682</v>
      </c>
      <c r="E36" s="96" t="s">
        <v>215</v>
      </c>
      <c r="F36" s="99">
        <v>45859</v>
      </c>
      <c r="G36" s="99">
        <v>45863</v>
      </c>
      <c r="H36" s="102">
        <v>0.33333333333333331</v>
      </c>
      <c r="I36" s="102"/>
      <c r="J36" s="99"/>
      <c r="K36" s="99"/>
      <c r="L36" s="99"/>
      <c r="M36" s="99"/>
      <c r="N36" s="99"/>
      <c r="O36" s="96" t="s">
        <v>280</v>
      </c>
      <c r="P36" s="96"/>
      <c r="Q36" s="101">
        <v>40</v>
      </c>
      <c r="R36" s="101">
        <v>5</v>
      </c>
      <c r="S36" s="101"/>
      <c r="T36" s="101"/>
      <c r="U36" s="97"/>
      <c r="V36" s="97"/>
      <c r="W36" s="101"/>
      <c r="X36" s="97"/>
      <c r="Y36" s="106">
        <f ca="1">Table29[[#This Row],[5/9/2025]]+2-TODAY()</f>
        <v>88</v>
      </c>
      <c r="Z36" s="97">
        <f>IF(ISBLANK(Table29[[#This Row],[Roster Received By]]),1,0)</f>
        <v>1</v>
      </c>
      <c r="AA36" s="97">
        <f ca="1">IF(Table29[[#This Row],[5/5/2025]]&gt;TODAY(),1,)</f>
        <v>1</v>
      </c>
    </row>
    <row r="37" spans="1:27" s="103" customFormat="1" ht="14.25" customHeight="1" x14ac:dyDescent="0.25">
      <c r="A37" s="302" t="s">
        <v>467</v>
      </c>
      <c r="B37" s="299" t="s">
        <v>17</v>
      </c>
      <c r="C37" s="97" t="s">
        <v>112</v>
      </c>
      <c r="D37" s="97">
        <v>3682</v>
      </c>
      <c r="E37" s="96" t="s">
        <v>191</v>
      </c>
      <c r="F37" s="99">
        <v>45663</v>
      </c>
      <c r="G37" s="99">
        <v>45667</v>
      </c>
      <c r="H37" s="102">
        <v>0.33333333333333331</v>
      </c>
      <c r="I37" s="102"/>
      <c r="J37" s="99"/>
      <c r="K37" s="99"/>
      <c r="L37" s="99"/>
      <c r="M37" s="99"/>
      <c r="N37" s="99"/>
      <c r="O37" s="96" t="s">
        <v>280</v>
      </c>
      <c r="P37" s="96"/>
      <c r="Q37" s="101">
        <v>40</v>
      </c>
      <c r="R37" s="101">
        <v>5</v>
      </c>
      <c r="S37" s="101"/>
      <c r="T37" s="101"/>
      <c r="U37" s="97"/>
      <c r="V37" s="97"/>
      <c r="W37" s="101"/>
      <c r="X37" s="97"/>
      <c r="Y37" s="106">
        <f ca="1">Table29[[#This Row],[5/9/2025]]+2-TODAY()</f>
        <v>-108</v>
      </c>
      <c r="Z37" s="97">
        <f>IF(ISBLANK(Table29[[#This Row],[Roster Received By]]),1,0)</f>
        <v>1</v>
      </c>
      <c r="AA37" s="97">
        <f ca="1">IF(Table29[[#This Row],[5/5/2025]]&gt;TODAY(),1,)</f>
        <v>0</v>
      </c>
    </row>
    <row r="38" spans="1:27" s="103" customFormat="1" ht="14.25" customHeight="1" x14ac:dyDescent="0.25">
      <c r="A38" s="302" t="s">
        <v>468</v>
      </c>
      <c r="B38" s="299" t="s">
        <v>17</v>
      </c>
      <c r="C38" s="97" t="s">
        <v>112</v>
      </c>
      <c r="D38" s="97">
        <v>3682</v>
      </c>
      <c r="E38" s="96" t="s">
        <v>163</v>
      </c>
      <c r="F38" s="99">
        <v>45740</v>
      </c>
      <c r="G38" s="99">
        <v>45744</v>
      </c>
      <c r="H38" s="102">
        <v>0.33333333333333331</v>
      </c>
      <c r="I38" s="102"/>
      <c r="J38" s="99"/>
      <c r="K38" s="99"/>
      <c r="L38" s="99"/>
      <c r="M38" s="99"/>
      <c r="N38" s="99"/>
      <c r="O38" s="96" t="s">
        <v>280</v>
      </c>
      <c r="P38" s="96"/>
      <c r="Q38" s="101">
        <v>40</v>
      </c>
      <c r="R38" s="101">
        <v>5</v>
      </c>
      <c r="S38" s="101"/>
      <c r="T38" s="101"/>
      <c r="U38" s="97"/>
      <c r="V38" s="97"/>
      <c r="W38" s="101"/>
      <c r="X38" s="97"/>
      <c r="Y38" s="106">
        <f ca="1">Table29[[#This Row],[5/9/2025]]+2-TODAY()</f>
        <v>-31</v>
      </c>
      <c r="Z38" s="97">
        <f>IF(ISBLANK(Table29[[#This Row],[Roster Received By]]),1,0)</f>
        <v>1</v>
      </c>
      <c r="AA38" s="97">
        <f ca="1">IF(Table29[[#This Row],[5/5/2025]]&gt;TODAY(),1,)</f>
        <v>0</v>
      </c>
    </row>
    <row r="39" spans="1:27" s="103" customFormat="1" ht="16.5" customHeight="1" x14ac:dyDescent="0.25">
      <c r="A39" s="97" t="s">
        <v>404</v>
      </c>
      <c r="B39" s="96" t="s">
        <v>17</v>
      </c>
      <c r="C39" s="97" t="s">
        <v>112</v>
      </c>
      <c r="D39" s="97">
        <v>3682</v>
      </c>
      <c r="E39" s="96" t="s">
        <v>167</v>
      </c>
      <c r="F39" s="99">
        <v>45887</v>
      </c>
      <c r="G39" s="99">
        <v>45891</v>
      </c>
      <c r="H39" s="102">
        <v>0.33333333333333331</v>
      </c>
      <c r="I39" s="102"/>
      <c r="J39" s="99"/>
      <c r="K39" s="99"/>
      <c r="L39" s="99"/>
      <c r="M39" s="99"/>
      <c r="N39" s="99"/>
      <c r="O39" s="96" t="s">
        <v>280</v>
      </c>
      <c r="P39" s="96"/>
      <c r="Q39" s="101">
        <v>40</v>
      </c>
      <c r="R39" s="101">
        <v>5</v>
      </c>
      <c r="S39" s="101"/>
      <c r="T39" s="101"/>
      <c r="U39" s="97"/>
      <c r="V39" s="97"/>
      <c r="W39" s="101"/>
      <c r="X39" s="97"/>
      <c r="Y39" s="106">
        <f ca="1">Table29[[#This Row],[5/9/2025]]+2-TODAY()</f>
        <v>116</v>
      </c>
      <c r="Z39" s="97">
        <f>IF(ISBLANK(Table29[[#This Row],[Roster Received By]]),1,0)</f>
        <v>1</v>
      </c>
      <c r="AA39" s="97">
        <f ca="1">IF(Table29[[#This Row],[5/5/2025]]&gt;TODAY(),1,)</f>
        <v>1</v>
      </c>
    </row>
    <row r="40" spans="1:27" s="103" customFormat="1" ht="16.5" customHeight="1" x14ac:dyDescent="0.25">
      <c r="A40" s="61" t="s">
        <v>469</v>
      </c>
      <c r="B40" s="96" t="s">
        <v>28</v>
      </c>
      <c r="C40" s="97" t="s">
        <v>113</v>
      </c>
      <c r="D40" s="97">
        <v>3683</v>
      </c>
      <c r="E40" s="96" t="s">
        <v>158</v>
      </c>
      <c r="F40" s="107">
        <v>45685</v>
      </c>
      <c r="G40" s="107">
        <v>45687</v>
      </c>
      <c r="H40" s="102">
        <v>0.33333333333333331</v>
      </c>
      <c r="I40" s="102"/>
      <c r="J40" s="99"/>
      <c r="K40" s="99"/>
      <c r="L40" s="99"/>
      <c r="M40" s="99"/>
      <c r="N40" s="99"/>
      <c r="O40" s="96" t="s">
        <v>280</v>
      </c>
      <c r="P40" s="96"/>
      <c r="Q40" s="100">
        <v>40</v>
      </c>
      <c r="R40" s="101">
        <v>3</v>
      </c>
      <c r="S40" s="100"/>
      <c r="T40" s="100"/>
      <c r="U40" s="15"/>
      <c r="V40" s="15"/>
      <c r="W40" s="15"/>
      <c r="X40" s="61"/>
      <c r="Y40" s="69">
        <f ca="1">Table29[[#This Row],[5/9/2025]]+2-TODAY()</f>
        <v>-88</v>
      </c>
      <c r="Z40" s="15">
        <f>IF(ISBLANK(Table29[[#This Row],[Roster Received By]]),1,0)</f>
        <v>1</v>
      </c>
      <c r="AA40" s="15">
        <f ca="1">IF(Table29[[#This Row],[5/5/2025]]&gt;TODAY(),1,)</f>
        <v>0</v>
      </c>
    </row>
    <row r="41" spans="1:27" s="103" customFormat="1" ht="14.25" customHeight="1" x14ac:dyDescent="0.25">
      <c r="A41" s="97" t="s">
        <v>470</v>
      </c>
      <c r="B41" s="96" t="s">
        <v>28</v>
      </c>
      <c r="C41" s="97" t="s">
        <v>113</v>
      </c>
      <c r="D41" s="97">
        <v>3683</v>
      </c>
      <c r="E41" s="96" t="s">
        <v>213</v>
      </c>
      <c r="F41" s="99">
        <v>45761</v>
      </c>
      <c r="G41" s="99">
        <v>45763</v>
      </c>
      <c r="H41" s="102">
        <v>0.33333333333333331</v>
      </c>
      <c r="I41" s="102"/>
      <c r="J41" s="99"/>
      <c r="K41" s="99"/>
      <c r="L41" s="99"/>
      <c r="M41" s="99"/>
      <c r="N41" s="99"/>
      <c r="O41" s="96" t="s">
        <v>280</v>
      </c>
      <c r="P41" s="96"/>
      <c r="Q41" s="101">
        <v>40</v>
      </c>
      <c r="R41" s="101">
        <v>3</v>
      </c>
      <c r="S41" s="101"/>
      <c r="T41" s="101"/>
      <c r="U41" s="97"/>
      <c r="V41" s="97"/>
      <c r="W41" s="101"/>
      <c r="X41" s="97"/>
      <c r="Y41" s="106">
        <f ca="1">Table29[[#This Row],[5/9/2025]]+2-TODAY()</f>
        <v>-12</v>
      </c>
      <c r="Z41" s="97">
        <f>IF(ISBLANK(Table29[[#This Row],[Roster Received By]]),1,0)</f>
        <v>1</v>
      </c>
      <c r="AA41" s="97">
        <f ca="1">IF(Table29[[#This Row],[5/5/2025]]&gt;TODAY(),1,)</f>
        <v>0</v>
      </c>
    </row>
    <row r="42" spans="1:27" s="103" customFormat="1" ht="14.25" customHeight="1" x14ac:dyDescent="0.25">
      <c r="A42" s="97"/>
      <c r="B42" s="96" t="s">
        <v>28</v>
      </c>
      <c r="C42" s="97" t="s">
        <v>113</v>
      </c>
      <c r="D42" s="97">
        <v>3683</v>
      </c>
      <c r="E42" s="96" t="s">
        <v>206</v>
      </c>
      <c r="F42" s="99">
        <v>45769</v>
      </c>
      <c r="G42" s="99">
        <v>45771</v>
      </c>
      <c r="H42" s="102">
        <v>0.33333333333333331</v>
      </c>
      <c r="I42" s="102"/>
      <c r="J42" s="99"/>
      <c r="K42" s="99"/>
      <c r="L42" s="99"/>
      <c r="M42" s="99"/>
      <c r="N42" s="99"/>
      <c r="O42" s="96" t="s">
        <v>280</v>
      </c>
      <c r="P42" s="96"/>
      <c r="Q42" s="101">
        <v>40</v>
      </c>
      <c r="R42" s="101">
        <v>3</v>
      </c>
      <c r="S42" s="101"/>
      <c r="T42" s="101"/>
      <c r="U42" s="97"/>
      <c r="V42" s="97"/>
      <c r="W42" s="101"/>
      <c r="X42" s="97"/>
      <c r="Y42" s="106">
        <f ca="1">Table29[[#This Row],[5/9/2025]]+2-TODAY()</f>
        <v>-4</v>
      </c>
      <c r="Z42" s="97">
        <f>IF(ISBLANK(Table29[[#This Row],[Roster Received By]]),1,0)</f>
        <v>1</v>
      </c>
      <c r="AA42" s="97">
        <f ca="1">IF(Table29[[#This Row],[5/5/2025]]&gt;TODAY(),1,)</f>
        <v>0</v>
      </c>
    </row>
    <row r="43" spans="1:27" s="103" customFormat="1" ht="14.25" customHeight="1" x14ac:dyDescent="0.25">
      <c r="A43" s="97" t="s">
        <v>471</v>
      </c>
      <c r="B43" s="96" t="s">
        <v>28</v>
      </c>
      <c r="C43" s="97" t="s">
        <v>113</v>
      </c>
      <c r="D43" s="97">
        <v>3683</v>
      </c>
      <c r="E43" s="96" t="s">
        <v>181</v>
      </c>
      <c r="F43" s="99">
        <v>45775</v>
      </c>
      <c r="G43" s="99">
        <v>45777</v>
      </c>
      <c r="H43" s="102">
        <v>0.33333333333333331</v>
      </c>
      <c r="I43" s="102"/>
      <c r="J43" s="99"/>
      <c r="K43" s="99"/>
      <c r="L43" s="99"/>
      <c r="M43" s="99"/>
      <c r="N43" s="99"/>
      <c r="O43" s="96" t="s">
        <v>280</v>
      </c>
      <c r="P43" s="96"/>
      <c r="Q43" s="101">
        <v>40</v>
      </c>
      <c r="R43" s="101">
        <v>3</v>
      </c>
      <c r="S43" s="101"/>
      <c r="T43" s="101"/>
      <c r="U43" s="97"/>
      <c r="V43" s="97"/>
      <c r="W43" s="101"/>
      <c r="X43" s="97"/>
      <c r="Y43" s="106">
        <f ca="1">Table29[[#This Row],[5/9/2025]]+2-TODAY()</f>
        <v>2</v>
      </c>
      <c r="Z43" s="97">
        <f>IF(ISBLANK(Table29[[#This Row],[Roster Received By]]),1,0)</f>
        <v>1</v>
      </c>
      <c r="AA43" s="97">
        <f ca="1">IF(Table29[[#This Row],[5/5/2025]]&gt;TODAY(),1,)</f>
        <v>0</v>
      </c>
    </row>
    <row r="44" spans="1:27" s="103" customFormat="1" ht="14.25" customHeight="1" x14ac:dyDescent="0.25">
      <c r="A44" s="97" t="s">
        <v>472</v>
      </c>
      <c r="B44" s="96" t="s">
        <v>28</v>
      </c>
      <c r="C44" s="97" t="s">
        <v>113</v>
      </c>
      <c r="D44" s="97">
        <v>3683</v>
      </c>
      <c r="E44" s="96" t="s">
        <v>216</v>
      </c>
      <c r="F44" s="99">
        <v>45778</v>
      </c>
      <c r="G44" s="99">
        <v>45782</v>
      </c>
      <c r="H44" s="102">
        <v>0.33333333333333331</v>
      </c>
      <c r="I44" s="102"/>
      <c r="J44" s="99"/>
      <c r="K44" s="99"/>
      <c r="L44" s="99"/>
      <c r="M44" s="99"/>
      <c r="N44" s="99"/>
      <c r="O44" s="96" t="s">
        <v>280</v>
      </c>
      <c r="P44" s="96"/>
      <c r="Q44" s="101">
        <v>40</v>
      </c>
      <c r="R44" s="101">
        <v>3</v>
      </c>
      <c r="S44" s="101"/>
      <c r="T44" s="101"/>
      <c r="U44" s="97"/>
      <c r="V44" s="97"/>
      <c r="W44" s="101"/>
      <c r="X44" s="97"/>
      <c r="Y44" s="106">
        <f ca="1">Table29[[#This Row],[5/9/2025]]+2-TODAY()</f>
        <v>7</v>
      </c>
      <c r="Z44" s="97">
        <f>IF(ISBLANK(Table29[[#This Row],[Roster Received By]]),1,0)</f>
        <v>1</v>
      </c>
      <c r="AA44" s="97">
        <f ca="1">IF(Table29[[#This Row],[5/5/2025]]&gt;TODAY(),1,)</f>
        <v>1</v>
      </c>
    </row>
    <row r="45" spans="1:27" s="103" customFormat="1" ht="14.25" customHeight="1" x14ac:dyDescent="0.25">
      <c r="A45" s="97" t="s">
        <v>473</v>
      </c>
      <c r="B45" s="96" t="s">
        <v>28</v>
      </c>
      <c r="C45" s="97" t="s">
        <v>113</v>
      </c>
      <c r="D45" s="97">
        <v>3683</v>
      </c>
      <c r="E45" s="96" t="s">
        <v>160</v>
      </c>
      <c r="F45" s="99">
        <v>45783</v>
      </c>
      <c r="G45" s="99">
        <v>45785</v>
      </c>
      <c r="H45" s="102">
        <v>0.33333333333333331</v>
      </c>
      <c r="I45" s="102"/>
      <c r="J45" s="99"/>
      <c r="K45" s="99"/>
      <c r="L45" s="99"/>
      <c r="M45" s="99"/>
      <c r="N45" s="99"/>
      <c r="O45" s="96" t="s">
        <v>280</v>
      </c>
      <c r="P45" s="96"/>
      <c r="Q45" s="101">
        <v>40</v>
      </c>
      <c r="R45" s="101">
        <v>3</v>
      </c>
      <c r="S45" s="101"/>
      <c r="T45" s="101"/>
      <c r="U45" s="97"/>
      <c r="V45" s="97"/>
      <c r="W45" s="101"/>
      <c r="X45" s="97"/>
      <c r="Y45" s="106">
        <f ca="1">Table29[[#This Row],[5/9/2025]]+2-TODAY()</f>
        <v>10</v>
      </c>
      <c r="Z45" s="97">
        <f>IF(ISBLANK(Table29[[#This Row],[Roster Received By]]),1,0)</f>
        <v>1</v>
      </c>
      <c r="AA45" s="97">
        <f ca="1">IF(Table29[[#This Row],[5/5/2025]]&gt;TODAY(),1,)</f>
        <v>1</v>
      </c>
    </row>
    <row r="46" spans="1:27" s="103" customFormat="1" x14ac:dyDescent="0.25">
      <c r="A46" s="97" t="s">
        <v>474</v>
      </c>
      <c r="B46" s="96" t="s">
        <v>28</v>
      </c>
      <c r="C46" s="97" t="s">
        <v>113</v>
      </c>
      <c r="D46" s="97">
        <v>3683</v>
      </c>
      <c r="E46" s="96" t="s">
        <v>196</v>
      </c>
      <c r="F46" s="99">
        <v>45783</v>
      </c>
      <c r="G46" s="99">
        <v>45785</v>
      </c>
      <c r="H46" s="102">
        <v>0.33333333333333331</v>
      </c>
      <c r="I46" s="102"/>
      <c r="J46" s="99"/>
      <c r="K46" s="99"/>
      <c r="L46" s="99"/>
      <c r="M46" s="99"/>
      <c r="N46" s="99"/>
      <c r="O46" s="96" t="s">
        <v>280</v>
      </c>
      <c r="P46" s="96"/>
      <c r="Q46" s="101">
        <v>40</v>
      </c>
      <c r="R46" s="101">
        <v>3</v>
      </c>
      <c r="S46" s="101"/>
      <c r="T46" s="101"/>
      <c r="U46" s="97"/>
      <c r="V46" s="97"/>
      <c r="W46" s="101"/>
      <c r="X46" s="97"/>
      <c r="Y46" s="106">
        <f ca="1">Table29[[#This Row],[5/9/2025]]+2-TODAY()</f>
        <v>10</v>
      </c>
      <c r="Z46" s="97">
        <f>IF(ISBLANK(Table29[[#This Row],[Roster Received By]]),1,0)</f>
        <v>1</v>
      </c>
      <c r="AA46" s="97">
        <f ca="1">IF(Table29[[#This Row],[5/5/2025]]&gt;TODAY(),1,)</f>
        <v>1</v>
      </c>
    </row>
    <row r="47" spans="1:27" s="103" customFormat="1" x14ac:dyDescent="0.25">
      <c r="A47" s="97" t="s">
        <v>471</v>
      </c>
      <c r="B47" s="96" t="s">
        <v>28</v>
      </c>
      <c r="C47" s="97" t="s">
        <v>113</v>
      </c>
      <c r="D47" s="97">
        <v>3683</v>
      </c>
      <c r="E47" s="96" t="s">
        <v>180</v>
      </c>
      <c r="F47" s="99">
        <v>45789</v>
      </c>
      <c r="G47" s="99">
        <v>45791</v>
      </c>
      <c r="H47" s="102">
        <v>0.33333333333333331</v>
      </c>
      <c r="I47" s="102"/>
      <c r="J47" s="99"/>
      <c r="K47" s="99"/>
      <c r="L47" s="99"/>
      <c r="M47" s="99"/>
      <c r="N47" s="99"/>
      <c r="O47" s="96" t="s">
        <v>280</v>
      </c>
      <c r="P47" s="96"/>
      <c r="Q47" s="101">
        <v>40</v>
      </c>
      <c r="R47" s="101">
        <v>3</v>
      </c>
      <c r="S47" s="101"/>
      <c r="T47" s="101"/>
      <c r="U47" s="97"/>
      <c r="V47" s="97"/>
      <c r="W47" s="101"/>
      <c r="X47" s="97"/>
      <c r="Y47" s="106">
        <f ca="1">Table29[[#This Row],[5/9/2025]]+2-TODAY()</f>
        <v>16</v>
      </c>
      <c r="Z47" s="97">
        <f>IF(ISBLANK(Table29[[#This Row],[Roster Received By]]),1,0)</f>
        <v>1</v>
      </c>
      <c r="AA47" s="97">
        <f ca="1">IF(Table29[[#This Row],[5/5/2025]]&gt;TODAY(),1,)</f>
        <v>1</v>
      </c>
    </row>
    <row r="48" spans="1:27" s="103" customFormat="1" x14ac:dyDescent="0.25">
      <c r="A48" s="97" t="s">
        <v>475</v>
      </c>
      <c r="B48" s="96" t="s">
        <v>28</v>
      </c>
      <c r="C48" s="97" t="s">
        <v>113</v>
      </c>
      <c r="D48" s="97">
        <v>3683</v>
      </c>
      <c r="E48" s="96" t="s">
        <v>189</v>
      </c>
      <c r="F48" s="99">
        <v>45811</v>
      </c>
      <c r="G48" s="99">
        <v>45813</v>
      </c>
      <c r="H48" s="102">
        <v>0.33333333333333331</v>
      </c>
      <c r="I48" s="102"/>
      <c r="J48" s="99"/>
      <c r="K48" s="99"/>
      <c r="L48" s="99"/>
      <c r="M48" s="99"/>
      <c r="N48" s="99"/>
      <c r="O48" s="96" t="s">
        <v>280</v>
      </c>
      <c r="P48" s="96"/>
      <c r="Q48" s="101">
        <v>40</v>
      </c>
      <c r="R48" s="101">
        <v>3</v>
      </c>
      <c r="S48" s="101"/>
      <c r="T48" s="101"/>
      <c r="U48" s="97"/>
      <c r="V48" s="97"/>
      <c r="W48" s="101"/>
      <c r="X48" s="97"/>
      <c r="Y48" s="106">
        <f ca="1">Table29[[#This Row],[5/9/2025]]+2-TODAY()</f>
        <v>38</v>
      </c>
      <c r="Z48" s="97">
        <f>IF(ISBLANK(Table29[[#This Row],[Roster Received By]]),1,0)</f>
        <v>1</v>
      </c>
      <c r="AA48" s="97">
        <f ca="1">IF(Table29[[#This Row],[5/5/2025]]&gt;TODAY(),1,)</f>
        <v>1</v>
      </c>
    </row>
    <row r="49" spans="1:27" s="103" customFormat="1" x14ac:dyDescent="0.25">
      <c r="A49" s="97"/>
      <c r="B49" s="96" t="s">
        <v>28</v>
      </c>
      <c r="C49" s="97" t="s">
        <v>113</v>
      </c>
      <c r="D49" s="97">
        <v>3683</v>
      </c>
      <c r="E49" s="96" t="s">
        <v>195</v>
      </c>
      <c r="F49" s="99">
        <v>45832</v>
      </c>
      <c r="G49" s="99">
        <v>45834</v>
      </c>
      <c r="H49" s="102">
        <v>0.33333333333333331</v>
      </c>
      <c r="I49" s="102"/>
      <c r="J49" s="99"/>
      <c r="K49" s="99"/>
      <c r="L49" s="99"/>
      <c r="M49" s="99"/>
      <c r="N49" s="99"/>
      <c r="O49" s="96" t="s">
        <v>280</v>
      </c>
      <c r="P49" s="96"/>
      <c r="Q49" s="101">
        <v>40</v>
      </c>
      <c r="R49" s="101">
        <v>3</v>
      </c>
      <c r="S49" s="101"/>
      <c r="T49" s="101"/>
      <c r="U49" s="97"/>
      <c r="V49" s="97"/>
      <c r="W49" s="101"/>
      <c r="X49" s="97"/>
      <c r="Y49" s="106">
        <f ca="1">Table29[[#This Row],[5/9/2025]]+2-TODAY()</f>
        <v>59</v>
      </c>
      <c r="Z49" s="97">
        <f>IF(ISBLANK(Table29[[#This Row],[Roster Received By]]),1,0)</f>
        <v>1</v>
      </c>
      <c r="AA49" s="97">
        <f ca="1">IF(Table29[[#This Row],[5/5/2025]]&gt;TODAY(),1,)</f>
        <v>1</v>
      </c>
    </row>
    <row r="50" spans="1:27" s="103" customFormat="1" x14ac:dyDescent="0.25">
      <c r="A50" s="97"/>
      <c r="B50" s="96" t="s">
        <v>28</v>
      </c>
      <c r="C50" s="97" t="s">
        <v>113</v>
      </c>
      <c r="D50" s="97">
        <v>3683</v>
      </c>
      <c r="E50" s="96" t="s">
        <v>204</v>
      </c>
      <c r="F50" s="99">
        <v>45838</v>
      </c>
      <c r="G50" s="99">
        <v>45840</v>
      </c>
      <c r="H50" s="102">
        <v>0.33333333333333331</v>
      </c>
      <c r="I50" s="102"/>
      <c r="J50" s="99"/>
      <c r="K50" s="99"/>
      <c r="L50" s="99"/>
      <c r="M50" s="99"/>
      <c r="N50" s="99"/>
      <c r="O50" s="96" t="s">
        <v>280</v>
      </c>
      <c r="P50" s="96"/>
      <c r="Q50" s="101">
        <v>40</v>
      </c>
      <c r="R50" s="101">
        <v>3</v>
      </c>
      <c r="S50" s="101"/>
      <c r="T50" s="101"/>
      <c r="U50" s="97"/>
      <c r="V50" s="97"/>
      <c r="W50" s="101"/>
      <c r="X50" s="97"/>
      <c r="Y50" s="106">
        <f ca="1">Table29[[#This Row],[5/9/2025]]+2-TODAY()</f>
        <v>65</v>
      </c>
      <c r="Z50" s="97">
        <f>IF(ISBLANK(Table29[[#This Row],[Roster Received By]]),1,0)</f>
        <v>1</v>
      </c>
      <c r="AA50" s="97">
        <f ca="1">IF(Table29[[#This Row],[5/5/2025]]&gt;TODAY(),1,)</f>
        <v>1</v>
      </c>
    </row>
    <row r="51" spans="1:27" s="103" customFormat="1" x14ac:dyDescent="0.25">
      <c r="A51" s="97" t="s">
        <v>476</v>
      </c>
      <c r="B51" s="96" t="s">
        <v>28</v>
      </c>
      <c r="C51" s="97" t="s">
        <v>113</v>
      </c>
      <c r="D51" s="97">
        <v>3683</v>
      </c>
      <c r="E51" s="96" t="s">
        <v>159</v>
      </c>
      <c r="F51" s="99">
        <v>45846</v>
      </c>
      <c r="G51" s="99">
        <v>45848</v>
      </c>
      <c r="H51" s="102">
        <v>0.33333333333333331</v>
      </c>
      <c r="I51" s="102"/>
      <c r="J51" s="99"/>
      <c r="K51" s="99"/>
      <c r="L51" s="99"/>
      <c r="M51" s="99"/>
      <c r="N51" s="99"/>
      <c r="O51" s="96" t="s">
        <v>280</v>
      </c>
      <c r="P51" s="96"/>
      <c r="Q51" s="101">
        <v>40</v>
      </c>
      <c r="R51" s="101">
        <v>3</v>
      </c>
      <c r="S51" s="101"/>
      <c r="T51" s="101"/>
      <c r="U51" s="97"/>
      <c r="V51" s="97"/>
      <c r="W51" s="101"/>
      <c r="X51" s="97"/>
      <c r="Y51" s="106">
        <f ca="1">Table29[[#This Row],[5/9/2025]]+2-TODAY()</f>
        <v>73</v>
      </c>
      <c r="Z51" s="97">
        <f>IF(ISBLANK(Table29[[#This Row],[Roster Received By]]),1,0)</f>
        <v>1</v>
      </c>
      <c r="AA51" s="97">
        <f ca="1">IF(Table29[[#This Row],[5/5/2025]]&gt;TODAY(),1,)</f>
        <v>1</v>
      </c>
    </row>
    <row r="52" spans="1:27" s="103" customFormat="1" x14ac:dyDescent="0.25">
      <c r="A52" s="97"/>
      <c r="B52" s="96" t="s">
        <v>28</v>
      </c>
      <c r="C52" s="97" t="s">
        <v>113</v>
      </c>
      <c r="D52" s="97">
        <v>3683</v>
      </c>
      <c r="E52" s="96" t="s">
        <v>169</v>
      </c>
      <c r="F52" s="99">
        <v>45853</v>
      </c>
      <c r="G52" s="99">
        <v>45855</v>
      </c>
      <c r="H52" s="102">
        <v>0.33333333333333331</v>
      </c>
      <c r="I52" s="102"/>
      <c r="J52" s="99"/>
      <c r="K52" s="99"/>
      <c r="L52" s="99"/>
      <c r="M52" s="99"/>
      <c r="N52" s="99"/>
      <c r="O52" s="96" t="s">
        <v>280</v>
      </c>
      <c r="P52" s="96"/>
      <c r="Q52" s="101">
        <v>40</v>
      </c>
      <c r="R52" s="101">
        <v>3</v>
      </c>
      <c r="S52" s="101"/>
      <c r="T52" s="101"/>
      <c r="U52" s="97"/>
      <c r="V52" s="97"/>
      <c r="W52" s="101"/>
      <c r="X52" s="97"/>
      <c r="Y52" s="106">
        <f ca="1">Table29[[#This Row],[5/9/2025]]+2-TODAY()</f>
        <v>80</v>
      </c>
      <c r="Z52" s="97">
        <f>IF(ISBLANK(Table29[[#This Row],[Roster Received By]]),1,0)</f>
        <v>1</v>
      </c>
      <c r="AA52" s="97">
        <f ca="1">IF(Table29[[#This Row],[5/5/2025]]&gt;TODAY(),1,)</f>
        <v>1</v>
      </c>
    </row>
    <row r="53" spans="1:27" s="103" customFormat="1" x14ac:dyDescent="0.25">
      <c r="A53" s="97"/>
      <c r="B53" s="96" t="s">
        <v>28</v>
      </c>
      <c r="C53" s="97" t="s">
        <v>113</v>
      </c>
      <c r="D53" s="97">
        <v>3683</v>
      </c>
      <c r="E53" s="96" t="s">
        <v>197</v>
      </c>
      <c r="F53" s="99">
        <v>45860</v>
      </c>
      <c r="G53" s="99">
        <v>45862</v>
      </c>
      <c r="H53" s="102">
        <v>0.33333333333333331</v>
      </c>
      <c r="I53" s="102"/>
      <c r="J53" s="99"/>
      <c r="K53" s="99"/>
      <c r="L53" s="99"/>
      <c r="M53" s="99"/>
      <c r="N53" s="99"/>
      <c r="O53" s="96" t="s">
        <v>280</v>
      </c>
      <c r="P53" s="96"/>
      <c r="Q53" s="101">
        <v>40</v>
      </c>
      <c r="R53" s="101">
        <v>3</v>
      </c>
      <c r="S53" s="101"/>
      <c r="T53" s="101"/>
      <c r="U53" s="97"/>
      <c r="V53" s="97"/>
      <c r="W53" s="101"/>
      <c r="X53" s="97"/>
      <c r="Y53" s="106">
        <f ca="1">Table29[[#This Row],[5/9/2025]]+2-TODAY()</f>
        <v>87</v>
      </c>
      <c r="Z53" s="97">
        <f>IF(ISBLANK(Table29[[#This Row],[Roster Received By]]),1,0)</f>
        <v>1</v>
      </c>
      <c r="AA53" s="97">
        <f ca="1">IF(Table29[[#This Row],[5/5/2025]]&gt;TODAY(),1,)</f>
        <v>1</v>
      </c>
    </row>
    <row r="54" spans="1:27" s="103" customFormat="1" x14ac:dyDescent="0.25">
      <c r="A54" s="97"/>
      <c r="B54" s="96" t="s">
        <v>28</v>
      </c>
      <c r="C54" s="97" t="s">
        <v>113</v>
      </c>
      <c r="D54" s="97">
        <v>3683</v>
      </c>
      <c r="E54" s="96" t="s">
        <v>175</v>
      </c>
      <c r="F54" s="99">
        <v>45882</v>
      </c>
      <c r="G54" s="99">
        <v>45884</v>
      </c>
      <c r="H54" s="102">
        <v>0.33333333333333331</v>
      </c>
      <c r="I54" s="102"/>
      <c r="J54" s="99"/>
      <c r="K54" s="99"/>
      <c r="L54" s="99"/>
      <c r="M54" s="99"/>
      <c r="N54" s="99"/>
      <c r="O54" s="96" t="s">
        <v>280</v>
      </c>
      <c r="P54" s="96"/>
      <c r="Q54" s="101">
        <v>40</v>
      </c>
      <c r="R54" s="101">
        <v>3</v>
      </c>
      <c r="S54" s="101"/>
      <c r="T54" s="101"/>
      <c r="U54" s="97"/>
      <c r="V54" s="97"/>
      <c r="W54" s="101"/>
      <c r="X54" s="97"/>
      <c r="Y54" s="106">
        <f ca="1">Table29[[#This Row],[5/9/2025]]+2-TODAY()</f>
        <v>109</v>
      </c>
      <c r="Z54" s="97">
        <f>IF(ISBLANK(Table29[[#This Row],[Roster Received By]]),1,0)</f>
        <v>1</v>
      </c>
      <c r="AA54" s="97">
        <f ca="1">IF(Table29[[#This Row],[5/5/2025]]&gt;TODAY(),1,)</f>
        <v>1</v>
      </c>
    </row>
    <row r="55" spans="1:27" s="132" customFormat="1" x14ac:dyDescent="0.25">
      <c r="A55" s="97"/>
      <c r="B55" s="96" t="s">
        <v>28</v>
      </c>
      <c r="C55" s="97" t="s">
        <v>113</v>
      </c>
      <c r="D55" s="97">
        <v>3683</v>
      </c>
      <c r="E55" s="96" t="s">
        <v>174</v>
      </c>
      <c r="F55" s="99">
        <v>45895</v>
      </c>
      <c r="G55" s="99">
        <v>45897</v>
      </c>
      <c r="H55" s="102">
        <v>0.33333333333333331</v>
      </c>
      <c r="I55" s="102"/>
      <c r="J55" s="99"/>
      <c r="K55" s="99"/>
      <c r="L55" s="99"/>
      <c r="M55" s="99"/>
      <c r="N55" s="99"/>
      <c r="O55" s="96" t="s">
        <v>280</v>
      </c>
      <c r="P55" s="96"/>
      <c r="Q55" s="101">
        <v>40</v>
      </c>
      <c r="R55" s="101">
        <v>3</v>
      </c>
      <c r="S55" s="101"/>
      <c r="T55" s="101"/>
      <c r="U55" s="97"/>
      <c r="V55" s="97"/>
      <c r="W55" s="101"/>
      <c r="X55" s="97"/>
      <c r="Y55" s="106">
        <f ca="1">Table29[[#This Row],[5/9/2025]]+2-TODAY()</f>
        <v>122</v>
      </c>
      <c r="Z55" s="97">
        <f>IF(ISBLANK(Table29[[#This Row],[Roster Received By]]),1,0)</f>
        <v>1</v>
      </c>
      <c r="AA55" s="97">
        <f ca="1">IF(Table29[[#This Row],[5/5/2025]]&gt;TODAY(),1,)</f>
        <v>1</v>
      </c>
    </row>
    <row r="56" spans="1:27" s="103" customFormat="1" x14ac:dyDescent="0.25">
      <c r="A56" s="97"/>
      <c r="B56" s="96" t="s">
        <v>28</v>
      </c>
      <c r="C56" s="97" t="s">
        <v>113</v>
      </c>
      <c r="D56" s="97">
        <v>3683</v>
      </c>
      <c r="E56" s="96" t="s">
        <v>219</v>
      </c>
      <c r="F56" s="99">
        <v>45917</v>
      </c>
      <c r="G56" s="99">
        <v>45919</v>
      </c>
      <c r="H56" s="102">
        <v>0.33333333333333331</v>
      </c>
      <c r="I56" s="102"/>
      <c r="J56" s="99"/>
      <c r="K56" s="99"/>
      <c r="L56" s="99"/>
      <c r="M56" s="99"/>
      <c r="N56" s="99"/>
      <c r="O56" s="96" t="s">
        <v>280</v>
      </c>
      <c r="P56" s="96"/>
      <c r="Q56" s="101">
        <v>40</v>
      </c>
      <c r="R56" s="101">
        <v>3</v>
      </c>
      <c r="S56" s="101"/>
      <c r="T56" s="101"/>
      <c r="U56" s="97"/>
      <c r="V56" s="97"/>
      <c r="W56" s="101"/>
      <c r="X56" s="97"/>
      <c r="Y56" s="106">
        <f ca="1">Table29[[#This Row],[5/9/2025]]+2-TODAY()</f>
        <v>144</v>
      </c>
      <c r="Z56" s="97">
        <f>IF(ISBLANK(Table29[[#This Row],[Roster Received By]]),1,0)</f>
        <v>1</v>
      </c>
      <c r="AA56" s="97">
        <f ca="1">IF(Table29[[#This Row],[5/5/2025]]&gt;TODAY(),1,)</f>
        <v>1</v>
      </c>
    </row>
    <row r="57" spans="1:27" s="103" customFormat="1" x14ac:dyDescent="0.25">
      <c r="A57" s="97" t="s">
        <v>477</v>
      </c>
      <c r="B57" s="96" t="s">
        <v>28</v>
      </c>
      <c r="C57" s="97" t="s">
        <v>113</v>
      </c>
      <c r="D57" s="97">
        <v>3683</v>
      </c>
      <c r="E57" s="96" t="s">
        <v>207</v>
      </c>
      <c r="F57" s="99">
        <v>45924</v>
      </c>
      <c r="G57" s="99">
        <v>45926</v>
      </c>
      <c r="H57" s="102">
        <v>0.33333333333333331</v>
      </c>
      <c r="I57" s="102"/>
      <c r="J57" s="99"/>
      <c r="K57" s="99"/>
      <c r="L57" s="99"/>
      <c r="M57" s="99"/>
      <c r="N57" s="99"/>
      <c r="O57" s="96" t="s">
        <v>280</v>
      </c>
      <c r="P57" s="96"/>
      <c r="Q57" s="101">
        <v>40</v>
      </c>
      <c r="R57" s="101">
        <v>3</v>
      </c>
      <c r="S57" s="101"/>
      <c r="T57" s="101"/>
      <c r="U57" s="97"/>
      <c r="V57" s="97"/>
      <c r="W57" s="101"/>
      <c r="X57" s="97"/>
      <c r="Y57" s="106">
        <f ca="1">Table29[[#This Row],[5/9/2025]]+2-TODAY()</f>
        <v>151</v>
      </c>
      <c r="Z57" s="97">
        <f>IF(ISBLANK(Table29[[#This Row],[Roster Received By]]),1,0)</f>
        <v>1</v>
      </c>
      <c r="AA57" s="97">
        <f ca="1">IF(Table29[[#This Row],[5/5/2025]]&gt;TODAY(),1,)</f>
        <v>1</v>
      </c>
    </row>
    <row r="58" spans="1:27" s="103" customFormat="1" x14ac:dyDescent="0.25">
      <c r="A58" s="302" t="s">
        <v>478</v>
      </c>
      <c r="B58" s="299" t="s">
        <v>28</v>
      </c>
      <c r="C58" s="97" t="s">
        <v>113</v>
      </c>
      <c r="D58" s="97">
        <v>3683</v>
      </c>
      <c r="E58" s="96" t="s">
        <v>208</v>
      </c>
      <c r="F58" s="99">
        <v>45699</v>
      </c>
      <c r="G58" s="99">
        <v>45701</v>
      </c>
      <c r="H58" s="102">
        <v>0.33333333333333331</v>
      </c>
      <c r="I58" s="102"/>
      <c r="J58" s="99"/>
      <c r="K58" s="99"/>
      <c r="L58" s="99"/>
      <c r="M58" s="99"/>
      <c r="N58" s="99"/>
      <c r="O58" s="96" t="s">
        <v>280</v>
      </c>
      <c r="P58" s="96"/>
      <c r="Q58" s="101">
        <v>40</v>
      </c>
      <c r="R58" s="101">
        <v>3</v>
      </c>
      <c r="S58" s="101"/>
      <c r="T58" s="101"/>
      <c r="U58" s="97"/>
      <c r="V58" s="97"/>
      <c r="W58" s="101"/>
      <c r="X58" s="97"/>
      <c r="Y58" s="106">
        <f ca="1">Table29[[#This Row],[5/9/2025]]+2-TODAY()</f>
        <v>-74</v>
      </c>
      <c r="Z58" s="97">
        <f>IF(ISBLANK(Table29[[#This Row],[Roster Received By]]),1,0)</f>
        <v>1</v>
      </c>
      <c r="AA58" s="97">
        <f ca="1">IF(Table29[[#This Row],[5/5/2025]]&gt;TODAY(),1,)</f>
        <v>0</v>
      </c>
    </row>
    <row r="59" spans="1:27" s="103" customFormat="1" x14ac:dyDescent="0.25">
      <c r="A59" s="303" t="s">
        <v>479</v>
      </c>
      <c r="B59" s="299" t="s">
        <v>28</v>
      </c>
      <c r="C59" s="97" t="s">
        <v>113</v>
      </c>
      <c r="D59" s="97">
        <v>3683</v>
      </c>
      <c r="E59" s="96" t="s">
        <v>372</v>
      </c>
      <c r="F59" s="99">
        <v>45916</v>
      </c>
      <c r="G59" s="99">
        <v>45918</v>
      </c>
      <c r="H59" s="102">
        <v>0.33333333333333331</v>
      </c>
      <c r="I59" s="102"/>
      <c r="J59" s="99"/>
      <c r="K59" s="99"/>
      <c r="L59" s="99"/>
      <c r="M59" s="99"/>
      <c r="N59" s="99"/>
      <c r="O59" s="96" t="s">
        <v>280</v>
      </c>
      <c r="P59" s="96"/>
      <c r="Q59" s="100">
        <v>40</v>
      </c>
      <c r="R59" s="101">
        <v>3</v>
      </c>
      <c r="S59" s="100"/>
      <c r="T59" s="100"/>
      <c r="U59" s="15"/>
      <c r="V59" s="15"/>
      <c r="W59" s="15"/>
      <c r="X59" s="61"/>
      <c r="Y59" s="69">
        <f ca="1">Table29[[#This Row],[5/9/2025]]+2-TODAY()</f>
        <v>143</v>
      </c>
      <c r="Z59" s="15">
        <f>IF(ISBLANK(Table29[[#This Row],[Roster Received By]]),1,0)</f>
        <v>1</v>
      </c>
      <c r="AA59" s="15">
        <f ca="1">IF(Table29[[#This Row],[5/5/2025]]&gt;TODAY(),1,)</f>
        <v>1</v>
      </c>
    </row>
    <row r="60" spans="1:27" s="103" customFormat="1" x14ac:dyDescent="0.25">
      <c r="A60" s="302" t="s">
        <v>480</v>
      </c>
      <c r="B60" s="299" t="s">
        <v>28</v>
      </c>
      <c r="C60" s="97" t="s">
        <v>113</v>
      </c>
      <c r="D60" s="97">
        <v>3683</v>
      </c>
      <c r="E60" s="96" t="s">
        <v>193</v>
      </c>
      <c r="F60" s="99">
        <v>45853</v>
      </c>
      <c r="G60" s="99">
        <v>45855</v>
      </c>
      <c r="H60" s="102">
        <v>0.33333333333333331</v>
      </c>
      <c r="I60" s="102"/>
      <c r="J60" s="99"/>
      <c r="K60" s="99"/>
      <c r="L60" s="99"/>
      <c r="M60" s="99"/>
      <c r="N60" s="99"/>
      <c r="O60" s="96" t="s">
        <v>280</v>
      </c>
      <c r="P60" s="96"/>
      <c r="Q60" s="101">
        <v>40</v>
      </c>
      <c r="R60" s="101">
        <v>3</v>
      </c>
      <c r="S60" s="101"/>
      <c r="T60" s="101"/>
      <c r="U60" s="97"/>
      <c r="V60" s="97"/>
      <c r="W60" s="101"/>
      <c r="X60" s="97"/>
      <c r="Y60" s="106">
        <f ca="1">Table29[[#This Row],[5/9/2025]]+2-TODAY()</f>
        <v>80</v>
      </c>
      <c r="Z60" s="97">
        <f>IF(ISBLANK(Table29[[#This Row],[Roster Received By]]),1,0)</f>
        <v>1</v>
      </c>
      <c r="AA60" s="97">
        <f ca="1">IF(Table29[[#This Row],[5/5/2025]]&gt;TODAY(),1,)</f>
        <v>1</v>
      </c>
    </row>
    <row r="61" spans="1:27" s="103" customFormat="1" x14ac:dyDescent="0.25">
      <c r="A61" s="302" t="s">
        <v>481</v>
      </c>
      <c r="B61" s="299" t="s">
        <v>28</v>
      </c>
      <c r="C61" s="97" t="s">
        <v>113</v>
      </c>
      <c r="D61" s="97">
        <v>3683</v>
      </c>
      <c r="E61" s="96" t="s">
        <v>168</v>
      </c>
      <c r="F61" s="99">
        <v>45776</v>
      </c>
      <c r="G61" s="99">
        <v>45778</v>
      </c>
      <c r="H61" s="102">
        <v>0.33333333333333331</v>
      </c>
      <c r="I61" s="102"/>
      <c r="J61" s="99"/>
      <c r="K61" s="99"/>
      <c r="L61" s="99"/>
      <c r="M61" s="99"/>
      <c r="N61" s="99"/>
      <c r="O61" s="96" t="s">
        <v>280</v>
      </c>
      <c r="P61" s="96"/>
      <c r="Q61" s="101">
        <v>40</v>
      </c>
      <c r="R61" s="101">
        <v>3</v>
      </c>
      <c r="S61" s="101"/>
      <c r="T61" s="101"/>
      <c r="U61" s="97"/>
      <c r="V61" s="97"/>
      <c r="W61" s="101"/>
      <c r="X61" s="97"/>
      <c r="Y61" s="106">
        <f ca="1">Table29[[#This Row],[5/9/2025]]+2-TODAY()</f>
        <v>3</v>
      </c>
      <c r="Z61" s="97">
        <f>IF(ISBLANK(Table29[[#This Row],[Roster Received By]]),1,0)</f>
        <v>1</v>
      </c>
      <c r="AA61" s="97">
        <f ca="1">IF(Table29[[#This Row],[5/5/2025]]&gt;TODAY(),1,)</f>
        <v>0</v>
      </c>
    </row>
    <row r="62" spans="1:27" s="103" customFormat="1" x14ac:dyDescent="0.25">
      <c r="A62" s="97" t="s">
        <v>404</v>
      </c>
      <c r="B62" s="96" t="s">
        <v>28</v>
      </c>
      <c r="C62" s="97" t="s">
        <v>113</v>
      </c>
      <c r="D62" s="97">
        <v>3683</v>
      </c>
      <c r="E62" s="96" t="s">
        <v>166</v>
      </c>
      <c r="F62" s="99">
        <v>45741</v>
      </c>
      <c r="G62" s="99">
        <v>45743</v>
      </c>
      <c r="H62" s="102">
        <v>0.33333333333333331</v>
      </c>
      <c r="I62" s="102"/>
      <c r="J62" s="99"/>
      <c r="K62" s="99"/>
      <c r="L62" s="99"/>
      <c r="M62" s="99"/>
      <c r="N62" s="99"/>
      <c r="O62" s="96" t="s">
        <v>280</v>
      </c>
      <c r="P62" s="96"/>
      <c r="Q62" s="101">
        <v>40</v>
      </c>
      <c r="R62" s="101">
        <v>3</v>
      </c>
      <c r="S62" s="101"/>
      <c r="T62" s="101"/>
      <c r="U62" s="97"/>
      <c r="V62" s="97"/>
      <c r="W62" s="101"/>
      <c r="X62" s="97"/>
      <c r="Y62" s="106">
        <f ca="1">Table29[[#This Row],[5/9/2025]]+2-TODAY()</f>
        <v>-32</v>
      </c>
      <c r="Z62" s="97">
        <f>IF(ISBLANK(Table29[[#This Row],[Roster Received By]]),1,0)</f>
        <v>1</v>
      </c>
      <c r="AA62" s="97">
        <f ca="1">IF(Table29[[#This Row],[5/5/2025]]&gt;TODAY(),1,)</f>
        <v>0</v>
      </c>
    </row>
    <row r="63" spans="1:27" s="103" customFormat="1" x14ac:dyDescent="0.25">
      <c r="A63" s="97" t="s">
        <v>404</v>
      </c>
      <c r="B63" s="96" t="s">
        <v>28</v>
      </c>
      <c r="C63" s="97" t="s">
        <v>113</v>
      </c>
      <c r="D63" s="97">
        <v>3683</v>
      </c>
      <c r="E63" s="96" t="s">
        <v>165</v>
      </c>
      <c r="F63" s="99">
        <v>45902</v>
      </c>
      <c r="G63" s="99">
        <v>45903</v>
      </c>
      <c r="H63" s="102">
        <v>0.33333333333333331</v>
      </c>
      <c r="I63" s="102"/>
      <c r="J63" s="99"/>
      <c r="K63" s="99"/>
      <c r="L63" s="99"/>
      <c r="M63" s="99"/>
      <c r="N63" s="99"/>
      <c r="O63" s="96" t="s">
        <v>280</v>
      </c>
      <c r="P63" s="96"/>
      <c r="Q63" s="101">
        <v>40</v>
      </c>
      <c r="R63" s="101">
        <v>3</v>
      </c>
      <c r="S63" s="101"/>
      <c r="T63" s="101"/>
      <c r="U63" s="97"/>
      <c r="V63" s="97"/>
      <c r="W63" s="101"/>
      <c r="X63" s="97"/>
      <c r="Y63" s="106">
        <f ca="1">Table29[[#This Row],[5/9/2025]]+2-TODAY()</f>
        <v>128</v>
      </c>
      <c r="Z63" s="97">
        <f>IF(ISBLANK(Table29[[#This Row],[Roster Received By]]),1,0)</f>
        <v>1</v>
      </c>
      <c r="AA63" s="97">
        <f ca="1">IF(Table29[[#This Row],[5/5/2025]]&gt;TODAY(),1,)</f>
        <v>1</v>
      </c>
    </row>
    <row r="64" spans="1:27" s="103" customFormat="1" x14ac:dyDescent="0.25">
      <c r="A64" s="61"/>
      <c r="B64" s="96" t="s">
        <v>29</v>
      </c>
      <c r="C64" s="97" t="s">
        <v>123</v>
      </c>
      <c r="D64" s="97" t="s">
        <v>124</v>
      </c>
      <c r="E64" s="96" t="s">
        <v>161</v>
      </c>
      <c r="F64" s="66">
        <v>45670</v>
      </c>
      <c r="G64" s="66">
        <v>45672</v>
      </c>
      <c r="H64" s="98">
        <v>0.33333333333333331</v>
      </c>
      <c r="I64" s="98"/>
      <c r="J64" s="102"/>
      <c r="K64" s="102"/>
      <c r="L64" s="102"/>
      <c r="M64" s="102"/>
      <c r="N64" s="102"/>
      <c r="O64" s="96" t="s">
        <v>280</v>
      </c>
      <c r="P64" s="96"/>
      <c r="Q64" s="15">
        <v>25</v>
      </c>
      <c r="R64" s="15">
        <v>3</v>
      </c>
      <c r="S64" s="15"/>
      <c r="T64" s="100"/>
      <c r="U64" s="15"/>
      <c r="V64" s="15"/>
      <c r="W64" s="15"/>
      <c r="X64" s="96"/>
      <c r="Y64" s="69">
        <f ca="1">Table29[[#This Row],[5/9/2025]]+2-TODAY()</f>
        <v>-103</v>
      </c>
      <c r="Z64" s="15">
        <f>IF(ISBLANK(Table29[[#This Row],[Roster Received By]]),1,0)</f>
        <v>1</v>
      </c>
      <c r="AA64" s="15">
        <f ca="1">IF(Table29[[#This Row],[5/5/2025]]&gt;TODAY(),1,)</f>
        <v>0</v>
      </c>
    </row>
    <row r="65" spans="1:27" s="103" customFormat="1" x14ac:dyDescent="0.25">
      <c r="A65" s="61"/>
      <c r="B65" s="96" t="s">
        <v>29</v>
      </c>
      <c r="C65" s="97" t="s">
        <v>123</v>
      </c>
      <c r="D65" s="97" t="s">
        <v>124</v>
      </c>
      <c r="E65" s="96" t="s">
        <v>198</v>
      </c>
      <c r="F65" s="99">
        <v>45691</v>
      </c>
      <c r="G65" s="99">
        <v>45693</v>
      </c>
      <c r="H65" s="98">
        <v>0.33333333333333331</v>
      </c>
      <c r="I65" s="102"/>
      <c r="J65" s="99"/>
      <c r="K65" s="99"/>
      <c r="L65" s="99"/>
      <c r="M65" s="99"/>
      <c r="N65" s="99"/>
      <c r="O65" s="96" t="s">
        <v>280</v>
      </c>
      <c r="P65" s="96"/>
      <c r="Q65" s="15">
        <v>25</v>
      </c>
      <c r="R65" s="15">
        <v>3</v>
      </c>
      <c r="S65" s="15"/>
      <c r="T65" s="100"/>
      <c r="U65" s="15"/>
      <c r="V65" s="15"/>
      <c r="W65" s="97"/>
      <c r="X65" s="96"/>
      <c r="Y65" s="69">
        <f ca="1">Table29[[#This Row],[5/9/2025]]+2-TODAY()</f>
        <v>-82</v>
      </c>
      <c r="Z65" s="15">
        <f>IF(ISBLANK(Table29[[#This Row],[Roster Received By]]),1,0)</f>
        <v>1</v>
      </c>
      <c r="AA65" s="15">
        <f ca="1">IF(Table29[[#This Row],[5/5/2025]]&gt;TODAY(),1,)</f>
        <v>0</v>
      </c>
    </row>
    <row r="66" spans="1:27" s="103" customFormat="1" x14ac:dyDescent="0.25">
      <c r="A66" s="61"/>
      <c r="B66" s="96" t="s">
        <v>29</v>
      </c>
      <c r="C66" s="97" t="s">
        <v>123</v>
      </c>
      <c r="D66" s="97" t="s">
        <v>124</v>
      </c>
      <c r="E66" s="96" t="s">
        <v>164</v>
      </c>
      <c r="F66" s="99">
        <v>45698</v>
      </c>
      <c r="G66" s="99">
        <v>45700</v>
      </c>
      <c r="H66" s="98">
        <v>0.33333333333333331</v>
      </c>
      <c r="I66" s="105"/>
      <c r="J66" s="136"/>
      <c r="K66" s="99"/>
      <c r="L66" s="99"/>
      <c r="M66" s="99"/>
      <c r="N66" s="99"/>
      <c r="O66" s="96" t="s">
        <v>280</v>
      </c>
      <c r="P66" s="96"/>
      <c r="Q66" s="15">
        <v>25</v>
      </c>
      <c r="R66" s="15">
        <v>3</v>
      </c>
      <c r="S66" s="15"/>
      <c r="T66" s="100"/>
      <c r="U66" s="15"/>
      <c r="V66" s="15"/>
      <c r="W66" s="15"/>
      <c r="X66" s="96"/>
      <c r="Y66" s="69">
        <f ca="1">Table29[[#This Row],[5/9/2025]]+2-TODAY()</f>
        <v>-75</v>
      </c>
      <c r="Z66" s="15">
        <f>IF(ISBLANK(Table29[[#This Row],[Roster Received By]]),1,0)</f>
        <v>1</v>
      </c>
      <c r="AA66" s="15">
        <f ca="1">IF(Table29[[#This Row],[5/5/2025]]&gt;TODAY(),1,)</f>
        <v>0</v>
      </c>
    </row>
    <row r="67" spans="1:27" s="103" customFormat="1" x14ac:dyDescent="0.25">
      <c r="A67" s="61" t="s">
        <v>482</v>
      </c>
      <c r="B67" s="96" t="s">
        <v>29</v>
      </c>
      <c r="C67" s="97" t="s">
        <v>123</v>
      </c>
      <c r="D67" s="97" t="s">
        <v>124</v>
      </c>
      <c r="E67" s="96" t="s">
        <v>173</v>
      </c>
      <c r="F67" s="99">
        <v>45698</v>
      </c>
      <c r="G67" s="99">
        <v>45700</v>
      </c>
      <c r="H67" s="98">
        <v>0.33333333333333331</v>
      </c>
      <c r="I67" s="98"/>
      <c r="J67" s="98"/>
      <c r="K67" s="98"/>
      <c r="L67" s="98"/>
      <c r="M67" s="98"/>
      <c r="N67" s="98"/>
      <c r="O67" s="96" t="s">
        <v>280</v>
      </c>
      <c r="P67" s="96"/>
      <c r="Q67" s="15">
        <v>25</v>
      </c>
      <c r="R67" s="15">
        <v>3</v>
      </c>
      <c r="S67" s="100"/>
      <c r="T67" s="100"/>
      <c r="U67" s="15"/>
      <c r="V67" s="15"/>
      <c r="W67" s="97"/>
      <c r="X67" s="96"/>
      <c r="Y67" s="69">
        <f ca="1">Table29[[#This Row],[5/9/2025]]+2-TODAY()</f>
        <v>-75</v>
      </c>
      <c r="Z67" s="15">
        <f>IF(ISBLANK(Table29[[#This Row],[Roster Received By]]),1,0)</f>
        <v>1</v>
      </c>
      <c r="AA67" s="15">
        <f ca="1">IF(Table29[[#This Row],[5/5/2025]]&gt;TODAY(),1,)</f>
        <v>0</v>
      </c>
    </row>
    <row r="68" spans="1:27" s="103" customFormat="1" x14ac:dyDescent="0.25">
      <c r="A68" s="61"/>
      <c r="B68" s="96" t="s">
        <v>29</v>
      </c>
      <c r="C68" s="97" t="s">
        <v>123</v>
      </c>
      <c r="D68" s="97" t="s">
        <v>124</v>
      </c>
      <c r="E68" s="64" t="s">
        <v>172</v>
      </c>
      <c r="F68" s="99">
        <v>45719</v>
      </c>
      <c r="G68" s="99">
        <v>45721</v>
      </c>
      <c r="H68" s="98">
        <v>0.33333333333333331</v>
      </c>
      <c r="I68" s="98"/>
      <c r="J68" s="98"/>
      <c r="K68" s="102"/>
      <c r="L68" s="102"/>
      <c r="M68" s="102"/>
      <c r="N68" s="102"/>
      <c r="O68" s="96" t="s">
        <v>280</v>
      </c>
      <c r="P68" s="96"/>
      <c r="Q68" s="15">
        <v>25</v>
      </c>
      <c r="R68" s="15">
        <v>3</v>
      </c>
      <c r="S68" s="15"/>
      <c r="T68" s="100"/>
      <c r="U68" s="15"/>
      <c r="V68" s="15"/>
      <c r="W68" s="15"/>
      <c r="X68" s="96"/>
      <c r="Y68" s="69">
        <f ca="1">Table29[[#This Row],[5/9/2025]]+2-TODAY()</f>
        <v>-54</v>
      </c>
      <c r="Z68" s="15">
        <f>IF(ISBLANK(Table29[[#This Row],[Roster Received By]]),1,0)</f>
        <v>1</v>
      </c>
      <c r="AA68" s="15">
        <f ca="1">IF(Table29[[#This Row],[5/5/2025]]&gt;TODAY(),1,)</f>
        <v>0</v>
      </c>
    </row>
    <row r="69" spans="1:27" s="103" customFormat="1" x14ac:dyDescent="0.25">
      <c r="A69" s="61"/>
      <c r="B69" s="96" t="s">
        <v>29</v>
      </c>
      <c r="C69" s="97" t="s">
        <v>123</v>
      </c>
      <c r="D69" s="97" t="s">
        <v>124</v>
      </c>
      <c r="E69" s="96" t="s">
        <v>176</v>
      </c>
      <c r="F69" s="99">
        <v>45740</v>
      </c>
      <c r="G69" s="99">
        <v>45742</v>
      </c>
      <c r="H69" s="98">
        <v>0.33333333333333331</v>
      </c>
      <c r="I69" s="98"/>
      <c r="J69" s="102"/>
      <c r="K69" s="102"/>
      <c r="L69" s="102"/>
      <c r="M69" s="102"/>
      <c r="N69" s="102"/>
      <c r="O69" s="96" t="s">
        <v>280</v>
      </c>
      <c r="P69" s="96"/>
      <c r="Q69" s="15">
        <v>25</v>
      </c>
      <c r="R69" s="15">
        <v>3</v>
      </c>
      <c r="S69" s="15"/>
      <c r="T69" s="100"/>
      <c r="U69" s="15"/>
      <c r="V69" s="15"/>
      <c r="W69" s="15"/>
      <c r="X69" s="96"/>
      <c r="Y69" s="69">
        <f ca="1">Table29[[#This Row],[5/9/2025]]+2-TODAY()</f>
        <v>-33</v>
      </c>
      <c r="Z69" s="15">
        <f>IF(ISBLANK(Table29[[#This Row],[Roster Received By]]),1,0)</f>
        <v>1</v>
      </c>
      <c r="AA69" s="15">
        <f ca="1">IF(Table29[[#This Row],[5/5/2025]]&gt;TODAY(),1,)</f>
        <v>0</v>
      </c>
    </row>
    <row r="70" spans="1:27" s="103" customFormat="1" x14ac:dyDescent="0.25">
      <c r="A70" s="61"/>
      <c r="B70" s="96" t="s">
        <v>29</v>
      </c>
      <c r="C70" s="97" t="s">
        <v>123</v>
      </c>
      <c r="D70" s="97" t="s">
        <v>124</v>
      </c>
      <c r="E70" s="96" t="s">
        <v>202</v>
      </c>
      <c r="F70" s="66">
        <v>45754</v>
      </c>
      <c r="G70" s="66">
        <v>45756</v>
      </c>
      <c r="H70" s="98">
        <v>0.33333333333333331</v>
      </c>
      <c r="I70" s="105"/>
      <c r="J70" s="99"/>
      <c r="K70" s="99"/>
      <c r="L70" s="99"/>
      <c r="M70" s="99"/>
      <c r="N70" s="99"/>
      <c r="O70" s="96" t="s">
        <v>280</v>
      </c>
      <c r="P70" s="96"/>
      <c r="Q70" s="15">
        <v>25</v>
      </c>
      <c r="R70" s="15">
        <v>3</v>
      </c>
      <c r="S70" s="15"/>
      <c r="T70" s="100"/>
      <c r="U70" s="15"/>
      <c r="V70" s="15"/>
      <c r="W70" s="100"/>
      <c r="X70" s="96"/>
      <c r="Y70" s="69">
        <f ca="1">Table29[[#This Row],[5/9/2025]]+2-TODAY()</f>
        <v>-19</v>
      </c>
      <c r="Z70" s="15">
        <f>IF(ISBLANK(Table29[[#This Row],[Roster Received By]]),1,0)</f>
        <v>1</v>
      </c>
      <c r="AA70" s="15">
        <f ca="1">IF(Table29[[#This Row],[5/5/2025]]&gt;TODAY(),1,)</f>
        <v>0</v>
      </c>
    </row>
    <row r="71" spans="1:27" s="103" customFormat="1" x14ac:dyDescent="0.25">
      <c r="A71" s="61"/>
      <c r="B71" s="96" t="s">
        <v>29</v>
      </c>
      <c r="C71" s="97" t="s">
        <v>123</v>
      </c>
      <c r="D71" s="97" t="s">
        <v>124</v>
      </c>
      <c r="E71" s="169" t="s">
        <v>174</v>
      </c>
      <c r="F71" s="170">
        <v>45782</v>
      </c>
      <c r="G71" s="170">
        <v>45784</v>
      </c>
      <c r="H71" s="171">
        <v>0.33333333333333331</v>
      </c>
      <c r="I71" s="98"/>
      <c r="J71" s="102"/>
      <c r="K71" s="102"/>
      <c r="L71" s="102"/>
      <c r="M71" s="102"/>
      <c r="N71" s="102"/>
      <c r="O71" s="96" t="s">
        <v>280</v>
      </c>
      <c r="P71" s="96"/>
      <c r="Q71" s="15">
        <v>25</v>
      </c>
      <c r="R71" s="15">
        <v>3</v>
      </c>
      <c r="S71" s="15"/>
      <c r="T71" s="100"/>
      <c r="U71" s="15"/>
      <c r="V71" s="15"/>
      <c r="W71" s="15"/>
      <c r="X71" s="96"/>
      <c r="Y71" s="69">
        <f ca="1">Table29[[#This Row],[5/9/2025]]+2-TODAY()</f>
        <v>9</v>
      </c>
      <c r="Z71" s="15">
        <f>IF(ISBLANK(Table29[[#This Row],[Roster Received By]]),1,0)</f>
        <v>1</v>
      </c>
      <c r="AA71" s="15">
        <f ca="1">IF(Table29[[#This Row],[5/5/2025]]&gt;TODAY(),1,)</f>
        <v>1</v>
      </c>
    </row>
    <row r="72" spans="1:27" s="103" customFormat="1" x14ac:dyDescent="0.25">
      <c r="A72" s="61"/>
      <c r="B72" s="96" t="s">
        <v>29</v>
      </c>
      <c r="C72" s="97" t="s">
        <v>123</v>
      </c>
      <c r="D72" s="97" t="s">
        <v>124</v>
      </c>
      <c r="E72" s="96" t="s">
        <v>198</v>
      </c>
      <c r="F72" s="99">
        <v>45789</v>
      </c>
      <c r="G72" s="99">
        <v>45791</v>
      </c>
      <c r="H72" s="98">
        <v>0.33333333333333331</v>
      </c>
      <c r="I72" s="98"/>
      <c r="J72" s="102"/>
      <c r="K72" s="102"/>
      <c r="L72" s="102"/>
      <c r="M72" s="102"/>
      <c r="N72" s="102"/>
      <c r="O72" s="96" t="s">
        <v>280</v>
      </c>
      <c r="P72" s="96"/>
      <c r="Q72" s="15">
        <v>25</v>
      </c>
      <c r="R72" s="15">
        <v>3</v>
      </c>
      <c r="S72" s="15"/>
      <c r="T72" s="100"/>
      <c r="U72" s="15"/>
      <c r="V72" s="15"/>
      <c r="W72" s="15"/>
      <c r="X72" s="96"/>
      <c r="Y72" s="69">
        <f ca="1">Table29[[#This Row],[5/9/2025]]+2-TODAY()</f>
        <v>16</v>
      </c>
      <c r="Z72" s="15">
        <f>IF(ISBLANK(Table29[[#This Row],[Roster Received By]]),1,0)</f>
        <v>1</v>
      </c>
      <c r="AA72" s="15">
        <f ca="1">IF(Table29[[#This Row],[5/5/2025]]&gt;TODAY(),1,)</f>
        <v>1</v>
      </c>
    </row>
    <row r="73" spans="1:27" s="103" customFormat="1" x14ac:dyDescent="0.25">
      <c r="A73" s="61"/>
      <c r="B73" s="96" t="s">
        <v>29</v>
      </c>
      <c r="C73" s="97" t="s">
        <v>123</v>
      </c>
      <c r="D73" s="97" t="s">
        <v>124</v>
      </c>
      <c r="E73" s="96" t="s">
        <v>215</v>
      </c>
      <c r="F73" s="99">
        <v>45817</v>
      </c>
      <c r="G73" s="99">
        <v>45819</v>
      </c>
      <c r="H73" s="98">
        <v>0.33333333333333331</v>
      </c>
      <c r="I73" s="98"/>
      <c r="J73" s="102"/>
      <c r="K73" s="102"/>
      <c r="L73" s="102"/>
      <c r="M73" s="102"/>
      <c r="N73" s="102"/>
      <c r="O73" s="96" t="s">
        <v>280</v>
      </c>
      <c r="P73" s="96"/>
      <c r="Q73" s="15">
        <v>25</v>
      </c>
      <c r="R73" s="15">
        <v>3</v>
      </c>
      <c r="S73" s="15"/>
      <c r="T73" s="100"/>
      <c r="U73" s="15"/>
      <c r="V73" s="15"/>
      <c r="W73" s="15"/>
      <c r="X73" s="96"/>
      <c r="Y73" s="69">
        <f ca="1">Table29[[#This Row],[5/9/2025]]+2-TODAY()</f>
        <v>44</v>
      </c>
      <c r="Z73" s="15">
        <f>IF(ISBLANK(Table29[[#This Row],[Roster Received By]]),1,0)</f>
        <v>1</v>
      </c>
      <c r="AA73" s="15">
        <f ca="1">IF(Table29[[#This Row],[5/5/2025]]&gt;TODAY(),1,)</f>
        <v>1</v>
      </c>
    </row>
    <row r="74" spans="1:27" s="132" customFormat="1" x14ac:dyDescent="0.25">
      <c r="A74" s="96"/>
      <c r="B74" s="96" t="s">
        <v>29</v>
      </c>
      <c r="C74" s="97" t="s">
        <v>123</v>
      </c>
      <c r="D74" s="97" t="s">
        <v>124</v>
      </c>
      <c r="E74" s="96" t="s">
        <v>205</v>
      </c>
      <c r="F74" s="99">
        <v>45852</v>
      </c>
      <c r="G74" s="99">
        <v>45854</v>
      </c>
      <c r="H74" s="98">
        <v>0.33333333333333331</v>
      </c>
      <c r="I74" s="102"/>
      <c r="J74" s="102"/>
      <c r="K74" s="102"/>
      <c r="L74" s="102"/>
      <c r="M74" s="102"/>
      <c r="N74" s="102"/>
      <c r="O74" s="96" t="s">
        <v>280</v>
      </c>
      <c r="P74" s="96"/>
      <c r="Q74" s="15">
        <v>25</v>
      </c>
      <c r="R74" s="15">
        <v>3</v>
      </c>
      <c r="S74" s="100"/>
      <c r="T74" s="100"/>
      <c r="U74" s="15"/>
      <c r="V74" s="15"/>
      <c r="W74" s="100"/>
      <c r="X74" s="96"/>
      <c r="Y74" s="69">
        <f ca="1">Table29[[#This Row],[5/9/2025]]+2-TODAY()</f>
        <v>79</v>
      </c>
      <c r="Z74" s="15">
        <f>IF(ISBLANK(Table29[[#This Row],[Roster Received By]]),1,0)</f>
        <v>1</v>
      </c>
      <c r="AA74" s="15">
        <f ca="1">IF(Table29[[#This Row],[5/5/2025]]&gt;TODAY(),1,)</f>
        <v>1</v>
      </c>
    </row>
    <row r="75" spans="1:27" s="103" customFormat="1" x14ac:dyDescent="0.25">
      <c r="A75" s="97"/>
      <c r="B75" s="96" t="s">
        <v>29</v>
      </c>
      <c r="C75" s="97" t="s">
        <v>123</v>
      </c>
      <c r="D75" s="97" t="s">
        <v>124</v>
      </c>
      <c r="E75" s="96" t="s">
        <v>162</v>
      </c>
      <c r="F75" s="99">
        <v>45859</v>
      </c>
      <c r="G75" s="99">
        <v>45861</v>
      </c>
      <c r="H75" s="98">
        <v>0.33333333333333331</v>
      </c>
      <c r="I75" s="102"/>
      <c r="J75" s="99"/>
      <c r="K75" s="99"/>
      <c r="L75" s="99"/>
      <c r="M75" s="99"/>
      <c r="N75" s="99"/>
      <c r="O75" s="96" t="s">
        <v>280</v>
      </c>
      <c r="P75" s="96"/>
      <c r="Q75" s="15">
        <v>25</v>
      </c>
      <c r="R75" s="15">
        <v>3</v>
      </c>
      <c r="S75" s="104"/>
      <c r="T75" s="100"/>
      <c r="U75" s="15"/>
      <c r="V75" s="15"/>
      <c r="W75" s="15"/>
      <c r="X75" s="96"/>
      <c r="Y75" s="69">
        <f ca="1">Table29[[#This Row],[5/9/2025]]+2-TODAY()</f>
        <v>86</v>
      </c>
      <c r="Z75" s="15">
        <f>IF(ISBLANK(Table29[[#This Row],[Roster Received By]]),1,0)</f>
        <v>1</v>
      </c>
      <c r="AA75" s="15">
        <f ca="1">IF(Table29[[#This Row],[5/5/2025]]&gt;TODAY(),1,)</f>
        <v>1</v>
      </c>
    </row>
    <row r="76" spans="1:27" s="103" customFormat="1" x14ac:dyDescent="0.25">
      <c r="A76" s="61"/>
      <c r="B76" s="96" t="s">
        <v>29</v>
      </c>
      <c r="C76" s="97" t="s">
        <v>123</v>
      </c>
      <c r="D76" s="97" t="s">
        <v>124</v>
      </c>
      <c r="E76" s="96" t="s">
        <v>198</v>
      </c>
      <c r="F76" s="99">
        <v>45873</v>
      </c>
      <c r="G76" s="99">
        <v>45875</v>
      </c>
      <c r="H76" s="98">
        <v>0.33333333333333331</v>
      </c>
      <c r="I76" s="98"/>
      <c r="J76" s="102"/>
      <c r="K76" s="102"/>
      <c r="L76" s="102"/>
      <c r="M76" s="102"/>
      <c r="N76" s="102"/>
      <c r="O76" s="96" t="s">
        <v>280</v>
      </c>
      <c r="P76" s="96"/>
      <c r="Q76" s="15">
        <v>25</v>
      </c>
      <c r="R76" s="15">
        <v>3</v>
      </c>
      <c r="S76" s="15"/>
      <c r="T76" s="100"/>
      <c r="U76" s="15"/>
      <c r="V76" s="15"/>
      <c r="W76" s="15"/>
      <c r="X76" s="96"/>
      <c r="Y76" s="69">
        <f ca="1">Table29[[#This Row],[5/9/2025]]+2-TODAY()</f>
        <v>100</v>
      </c>
      <c r="Z76" s="15">
        <f>IF(ISBLANK(Table29[[#This Row],[Roster Received By]]),1,0)</f>
        <v>1</v>
      </c>
      <c r="AA76" s="15">
        <f ca="1">IF(Table29[[#This Row],[5/5/2025]]&gt;TODAY(),1,)</f>
        <v>1</v>
      </c>
    </row>
    <row r="77" spans="1:27" s="103" customFormat="1" x14ac:dyDescent="0.25">
      <c r="A77" s="61"/>
      <c r="B77" s="96" t="s">
        <v>29</v>
      </c>
      <c r="C77" s="97" t="s">
        <v>123</v>
      </c>
      <c r="D77" s="97" t="s">
        <v>124</v>
      </c>
      <c r="E77" s="96" t="s">
        <v>188</v>
      </c>
      <c r="F77" s="99">
        <v>45873</v>
      </c>
      <c r="G77" s="99">
        <v>45875</v>
      </c>
      <c r="H77" s="98">
        <v>0.33333333333333331</v>
      </c>
      <c r="I77" s="98"/>
      <c r="J77" s="98"/>
      <c r="K77" s="98"/>
      <c r="L77" s="98"/>
      <c r="M77" s="98"/>
      <c r="N77" s="98"/>
      <c r="O77" s="96" t="s">
        <v>280</v>
      </c>
      <c r="P77" s="96"/>
      <c r="Q77" s="15">
        <v>25</v>
      </c>
      <c r="R77" s="15">
        <v>3</v>
      </c>
      <c r="S77" s="15"/>
      <c r="T77" s="100"/>
      <c r="U77" s="15"/>
      <c r="V77" s="15"/>
      <c r="W77" s="15"/>
      <c r="X77" s="96"/>
      <c r="Y77" s="69">
        <f ca="1">Table29[[#This Row],[5/9/2025]]+2-TODAY()</f>
        <v>100</v>
      </c>
      <c r="Z77" s="15">
        <f>IF(ISBLANK(Table29[[#This Row],[Roster Received By]]),1,0)</f>
        <v>1</v>
      </c>
      <c r="AA77" s="15">
        <f ca="1">IF(Table29[[#This Row],[5/5/2025]]&gt;TODAY(),1,)</f>
        <v>1</v>
      </c>
    </row>
    <row r="78" spans="1:27" s="103" customFormat="1" x14ac:dyDescent="0.25">
      <c r="A78" s="124"/>
      <c r="B78" s="96" t="s">
        <v>29</v>
      </c>
      <c r="C78" s="97" t="s">
        <v>123</v>
      </c>
      <c r="D78" s="97" t="s">
        <v>124</v>
      </c>
      <c r="E78" s="64" t="s">
        <v>220</v>
      </c>
      <c r="F78" s="99">
        <v>45887</v>
      </c>
      <c r="G78" s="99">
        <v>45889</v>
      </c>
      <c r="H78" s="98">
        <v>0.33333333333333331</v>
      </c>
      <c r="I78" s="98"/>
      <c r="J78" s="102"/>
      <c r="K78" s="102"/>
      <c r="L78" s="102"/>
      <c r="M78" s="102"/>
      <c r="N78" s="102"/>
      <c r="O78" s="96" t="s">
        <v>280</v>
      </c>
      <c r="P78" s="96"/>
      <c r="Q78" s="15">
        <v>25</v>
      </c>
      <c r="R78" s="15">
        <v>3</v>
      </c>
      <c r="S78" s="15"/>
      <c r="T78" s="100"/>
      <c r="U78" s="15"/>
      <c r="V78" s="15"/>
      <c r="W78" s="100"/>
      <c r="X78" s="96"/>
      <c r="Y78" s="69">
        <f ca="1">Table29[[#This Row],[5/9/2025]]+2-TODAY()</f>
        <v>114</v>
      </c>
      <c r="Z78" s="15">
        <f>IF(ISBLANK(Table29[[#This Row],[Roster Received By]]),1,0)</f>
        <v>1</v>
      </c>
      <c r="AA78" s="15">
        <f ca="1">IF(Table29[[#This Row],[5/5/2025]]&gt;TODAY(),1,)</f>
        <v>1</v>
      </c>
    </row>
    <row r="79" spans="1:27" s="103" customFormat="1" x14ac:dyDescent="0.25">
      <c r="A79" s="61"/>
      <c r="B79" s="96" t="s">
        <v>29</v>
      </c>
      <c r="C79" s="97" t="s">
        <v>123</v>
      </c>
      <c r="D79" s="97" t="s">
        <v>124</v>
      </c>
      <c r="E79" s="96" t="s">
        <v>175</v>
      </c>
      <c r="F79" s="99">
        <v>45902</v>
      </c>
      <c r="G79" s="99">
        <v>45904</v>
      </c>
      <c r="H79" s="98">
        <v>0.33333333333333331</v>
      </c>
      <c r="I79" s="102"/>
      <c r="J79" s="99"/>
      <c r="K79" s="99"/>
      <c r="L79" s="99"/>
      <c r="M79" s="99"/>
      <c r="N79" s="99"/>
      <c r="O79" s="96" t="s">
        <v>280</v>
      </c>
      <c r="P79" s="96"/>
      <c r="Q79" s="100">
        <v>25</v>
      </c>
      <c r="R79" s="101">
        <v>3</v>
      </c>
      <c r="S79" s="100"/>
      <c r="T79" s="100"/>
      <c r="U79" s="15"/>
      <c r="V79" s="15"/>
      <c r="W79" s="15"/>
      <c r="X79" s="96"/>
      <c r="Y79" s="69">
        <f ca="1">Table29[[#This Row],[5/9/2025]]+2-TODAY()</f>
        <v>129</v>
      </c>
      <c r="Z79" s="15">
        <f>IF(ISBLANK(Table29[[#This Row],[Roster Received By]]),1,0)</f>
        <v>1</v>
      </c>
      <c r="AA79" s="15">
        <f ca="1">IF(Table29[[#This Row],[5/5/2025]]&gt;TODAY(),1,)</f>
        <v>1</v>
      </c>
    </row>
    <row r="80" spans="1:27" s="103" customFormat="1" x14ac:dyDescent="0.25">
      <c r="A80" s="61"/>
      <c r="B80" s="96" t="s">
        <v>29</v>
      </c>
      <c r="C80" s="97" t="s">
        <v>123</v>
      </c>
      <c r="D80" s="97" t="s">
        <v>124</v>
      </c>
      <c r="E80" s="96" t="s">
        <v>183</v>
      </c>
      <c r="F80" s="99">
        <v>45908</v>
      </c>
      <c r="G80" s="99">
        <v>45910</v>
      </c>
      <c r="H80" s="98">
        <v>0.33333333333333331</v>
      </c>
      <c r="I80" s="98"/>
      <c r="J80" s="98"/>
      <c r="K80" s="98"/>
      <c r="L80" s="98"/>
      <c r="M80" s="98"/>
      <c r="N80" s="98"/>
      <c r="O80" s="96" t="s">
        <v>280</v>
      </c>
      <c r="P80" s="96"/>
      <c r="Q80" s="15">
        <v>25</v>
      </c>
      <c r="R80" s="15">
        <v>3</v>
      </c>
      <c r="S80" s="15"/>
      <c r="T80" s="100"/>
      <c r="U80" s="15"/>
      <c r="V80" s="15"/>
      <c r="W80" s="15"/>
      <c r="X80" s="96"/>
      <c r="Y80" s="69">
        <f ca="1">Table29[[#This Row],[5/9/2025]]+2-TODAY()</f>
        <v>135</v>
      </c>
      <c r="Z80" s="15">
        <f>IF(ISBLANK(Table29[[#This Row],[Roster Received By]]),1,0)</f>
        <v>1</v>
      </c>
      <c r="AA80" s="15">
        <f ca="1">IF(Table29[[#This Row],[5/5/2025]]&gt;TODAY(),1,)</f>
        <v>1</v>
      </c>
    </row>
    <row r="81" spans="1:27" s="103" customFormat="1" x14ac:dyDescent="0.25">
      <c r="A81" s="61"/>
      <c r="B81" s="96" t="s">
        <v>29</v>
      </c>
      <c r="C81" s="97" t="s">
        <v>123</v>
      </c>
      <c r="D81" s="97" t="s">
        <v>124</v>
      </c>
      <c r="E81" s="96" t="s">
        <v>204</v>
      </c>
      <c r="F81" s="99">
        <v>45908</v>
      </c>
      <c r="G81" s="99">
        <v>45910</v>
      </c>
      <c r="H81" s="98">
        <v>0.33333333333333331</v>
      </c>
      <c r="I81" s="98"/>
      <c r="J81" s="102"/>
      <c r="K81" s="102"/>
      <c r="L81" s="102"/>
      <c r="M81" s="102"/>
      <c r="N81" s="102"/>
      <c r="O81" s="96" t="s">
        <v>280</v>
      </c>
      <c r="P81" s="96"/>
      <c r="Q81" s="15">
        <v>25</v>
      </c>
      <c r="R81" s="15">
        <v>3</v>
      </c>
      <c r="S81" s="15"/>
      <c r="T81" s="100"/>
      <c r="U81" s="15"/>
      <c r="V81" s="15"/>
      <c r="W81" s="15"/>
      <c r="X81" s="96"/>
      <c r="Y81" s="69">
        <f ca="1">Table29[[#This Row],[5/9/2025]]+2-TODAY()</f>
        <v>135</v>
      </c>
      <c r="Z81" s="15">
        <f>IF(ISBLANK(Table29[[#This Row],[Roster Received By]]),1,0)</f>
        <v>1</v>
      </c>
      <c r="AA81" s="15">
        <f ca="1">IF(Table29[[#This Row],[5/5/2025]]&gt;TODAY(),1,)</f>
        <v>1</v>
      </c>
    </row>
    <row r="82" spans="1:27" s="103" customFormat="1" x14ac:dyDescent="0.25">
      <c r="A82" s="61" t="s">
        <v>483</v>
      </c>
      <c r="B82" s="96" t="s">
        <v>31</v>
      </c>
      <c r="C82" s="97" t="s">
        <v>125</v>
      </c>
      <c r="D82" s="97" t="s">
        <v>126</v>
      </c>
      <c r="E82" s="96" t="s">
        <v>86</v>
      </c>
      <c r="F82" s="99">
        <v>45670</v>
      </c>
      <c r="G82" s="99">
        <v>45670</v>
      </c>
      <c r="H82" s="98"/>
      <c r="I82" s="98">
        <v>0.33333333333333331</v>
      </c>
      <c r="J82" s="98"/>
      <c r="K82" s="98"/>
      <c r="L82" s="98"/>
      <c r="M82" s="98"/>
      <c r="N82" s="98"/>
      <c r="O82" s="96" t="s">
        <v>280</v>
      </c>
      <c r="P82" s="96"/>
      <c r="Q82" s="15">
        <v>30</v>
      </c>
      <c r="R82" s="15">
        <v>1</v>
      </c>
      <c r="S82" s="15"/>
      <c r="T82" s="100"/>
      <c r="U82" s="15"/>
      <c r="V82" s="15"/>
      <c r="W82" s="15"/>
      <c r="X82" s="96"/>
      <c r="Y82" s="69">
        <f ca="1">Table29[[#This Row],[5/9/2025]]+2-TODAY()</f>
        <v>-105</v>
      </c>
      <c r="Z82" s="15">
        <f>IF(ISBLANK(Table29[[#This Row],[Roster Received By]]),1,0)</f>
        <v>1</v>
      </c>
      <c r="AA82" s="15">
        <f ca="1">IF(Table29[[#This Row],[5/5/2025]]&gt;TODAY(),1,)</f>
        <v>0</v>
      </c>
    </row>
    <row r="83" spans="1:27" s="103" customFormat="1" x14ac:dyDescent="0.25">
      <c r="A83" s="61"/>
      <c r="B83" s="96" t="s">
        <v>31</v>
      </c>
      <c r="C83" s="97" t="s">
        <v>125</v>
      </c>
      <c r="D83" s="97" t="s">
        <v>126</v>
      </c>
      <c r="E83" s="96" t="s">
        <v>161</v>
      </c>
      <c r="F83" s="66">
        <v>45673</v>
      </c>
      <c r="G83" s="66">
        <v>45673</v>
      </c>
      <c r="H83" s="98">
        <v>0.33333333333333331</v>
      </c>
      <c r="I83" s="102"/>
      <c r="J83" s="99"/>
      <c r="K83" s="99"/>
      <c r="L83" s="99"/>
      <c r="M83" s="99"/>
      <c r="N83" s="99"/>
      <c r="O83" s="96" t="s">
        <v>280</v>
      </c>
      <c r="P83" s="96"/>
      <c r="Q83" s="100">
        <v>30</v>
      </c>
      <c r="R83" s="101">
        <v>1</v>
      </c>
      <c r="S83" s="100"/>
      <c r="T83" s="100"/>
      <c r="U83" s="15"/>
      <c r="V83" s="15"/>
      <c r="W83" s="15"/>
      <c r="X83" s="96"/>
      <c r="Y83" s="69">
        <f ca="1">Table29[[#This Row],[5/9/2025]]+2-TODAY()</f>
        <v>-102</v>
      </c>
      <c r="Z83" s="15">
        <f>IF(ISBLANK(Table29[[#This Row],[Roster Received By]]),1,0)</f>
        <v>1</v>
      </c>
      <c r="AA83" s="15">
        <f ca="1">IF(Table29[[#This Row],[5/5/2025]]&gt;TODAY(),1,)</f>
        <v>0</v>
      </c>
    </row>
    <row r="84" spans="1:27" s="103" customFormat="1" x14ac:dyDescent="0.25">
      <c r="A84" s="61"/>
      <c r="B84" s="96" t="s">
        <v>31</v>
      </c>
      <c r="C84" s="97" t="s">
        <v>125</v>
      </c>
      <c r="D84" s="97" t="s">
        <v>126</v>
      </c>
      <c r="E84" s="96" t="s">
        <v>198</v>
      </c>
      <c r="F84" s="99">
        <v>45694</v>
      </c>
      <c r="G84" s="99">
        <v>45694</v>
      </c>
      <c r="H84" s="98">
        <v>0.33333333333333331</v>
      </c>
      <c r="I84" s="98"/>
      <c r="J84" s="98"/>
      <c r="K84" s="98"/>
      <c r="L84" s="98"/>
      <c r="M84" s="98"/>
      <c r="N84" s="98"/>
      <c r="O84" s="96" t="s">
        <v>280</v>
      </c>
      <c r="P84" s="96"/>
      <c r="Q84" s="15">
        <v>30</v>
      </c>
      <c r="R84" s="15">
        <v>1</v>
      </c>
      <c r="S84" s="15"/>
      <c r="T84" s="100"/>
      <c r="U84" s="15"/>
      <c r="V84" s="15"/>
      <c r="W84" s="15"/>
      <c r="X84" s="96"/>
      <c r="Y84" s="69">
        <f ca="1">Table29[[#This Row],[5/9/2025]]+2-TODAY()</f>
        <v>-81</v>
      </c>
      <c r="Z84" s="15">
        <f>IF(ISBLANK(Table29[[#This Row],[Roster Received By]]),1,0)</f>
        <v>1</v>
      </c>
      <c r="AA84" s="15">
        <f ca="1">IF(Table29[[#This Row],[5/5/2025]]&gt;TODAY(),1,)</f>
        <v>0</v>
      </c>
    </row>
    <row r="85" spans="1:27" s="103" customFormat="1" x14ac:dyDescent="0.25">
      <c r="A85" s="61"/>
      <c r="B85" s="96" t="s">
        <v>31</v>
      </c>
      <c r="C85" s="97" t="s">
        <v>125</v>
      </c>
      <c r="D85" s="97" t="s">
        <v>126</v>
      </c>
      <c r="E85" s="96" t="s">
        <v>164</v>
      </c>
      <c r="F85" s="99">
        <v>45701</v>
      </c>
      <c r="G85" s="99">
        <v>45701</v>
      </c>
      <c r="H85" s="98">
        <v>0.33333333333333331</v>
      </c>
      <c r="I85" s="98"/>
      <c r="J85" s="98"/>
      <c r="K85" s="98"/>
      <c r="L85" s="98"/>
      <c r="M85" s="98"/>
      <c r="N85" s="98"/>
      <c r="O85" s="96" t="s">
        <v>280</v>
      </c>
      <c r="P85" s="96"/>
      <c r="Q85" s="15">
        <v>30</v>
      </c>
      <c r="R85" s="15">
        <v>1</v>
      </c>
      <c r="S85" s="100"/>
      <c r="T85" s="100"/>
      <c r="U85" s="15"/>
      <c r="V85" s="15"/>
      <c r="W85" s="15"/>
      <c r="X85" s="96"/>
      <c r="Y85" s="69">
        <f ca="1">Table29[[#This Row],[5/9/2025]]+2-TODAY()</f>
        <v>-74</v>
      </c>
      <c r="Z85" s="15">
        <f>IF(ISBLANK(Table29[[#This Row],[Roster Received By]]),1,0)</f>
        <v>1</v>
      </c>
      <c r="AA85" s="15">
        <f ca="1">IF(Table29[[#This Row],[5/5/2025]]&gt;TODAY(),1,)</f>
        <v>0</v>
      </c>
    </row>
    <row r="86" spans="1:27" s="103" customFormat="1" x14ac:dyDescent="0.25">
      <c r="A86" s="61" t="s">
        <v>482</v>
      </c>
      <c r="B86" s="96" t="s">
        <v>31</v>
      </c>
      <c r="C86" s="97" t="s">
        <v>125</v>
      </c>
      <c r="D86" s="97" t="s">
        <v>126</v>
      </c>
      <c r="E86" s="96" t="s">
        <v>173</v>
      </c>
      <c r="F86" s="99">
        <v>45701</v>
      </c>
      <c r="G86" s="99">
        <v>45701</v>
      </c>
      <c r="H86" s="98">
        <v>0.33333333333333331</v>
      </c>
      <c r="I86" s="98"/>
      <c r="J86" s="98"/>
      <c r="K86" s="98"/>
      <c r="L86" s="98"/>
      <c r="M86" s="98"/>
      <c r="N86" s="98"/>
      <c r="O86" s="96" t="s">
        <v>280</v>
      </c>
      <c r="P86" s="96"/>
      <c r="Q86" s="15">
        <v>30</v>
      </c>
      <c r="R86" s="15">
        <v>1</v>
      </c>
      <c r="S86" s="15"/>
      <c r="T86" s="100"/>
      <c r="U86" s="15"/>
      <c r="V86" s="15"/>
      <c r="W86" s="15"/>
      <c r="X86" s="96"/>
      <c r="Y86" s="69">
        <f ca="1">Table29[[#This Row],[5/9/2025]]+2-TODAY()</f>
        <v>-74</v>
      </c>
      <c r="Z86" s="15">
        <f>IF(ISBLANK(Table29[[#This Row],[Roster Received By]]),1,0)</f>
        <v>1</v>
      </c>
      <c r="AA86" s="15">
        <f ca="1">IF(Table29[[#This Row],[5/5/2025]]&gt;TODAY(),1,)</f>
        <v>0</v>
      </c>
    </row>
    <row r="87" spans="1:27" s="61" customFormat="1" x14ac:dyDescent="0.25">
      <c r="B87" s="96" t="s">
        <v>31</v>
      </c>
      <c r="C87" s="97" t="s">
        <v>125</v>
      </c>
      <c r="D87" s="97" t="s">
        <v>126</v>
      </c>
      <c r="E87" s="96" t="s">
        <v>164</v>
      </c>
      <c r="F87" s="99">
        <v>45702</v>
      </c>
      <c r="G87" s="99">
        <v>45702</v>
      </c>
      <c r="H87" s="98">
        <v>0.33333333333333331</v>
      </c>
      <c r="I87" s="98"/>
      <c r="J87" s="98"/>
      <c r="K87" s="98"/>
      <c r="L87" s="98"/>
      <c r="M87" s="98"/>
      <c r="N87" s="98"/>
      <c r="O87" s="96" t="s">
        <v>280</v>
      </c>
      <c r="P87" s="96"/>
      <c r="Q87" s="15">
        <v>30</v>
      </c>
      <c r="R87" s="15">
        <v>1</v>
      </c>
      <c r="S87" s="15"/>
      <c r="T87" s="100"/>
      <c r="U87" s="15"/>
      <c r="V87" s="15"/>
      <c r="W87" s="15"/>
      <c r="X87" s="96"/>
      <c r="Y87" s="69">
        <f ca="1">Table29[[#This Row],[5/9/2025]]+2-TODAY()</f>
        <v>-73</v>
      </c>
      <c r="Z87" s="15">
        <f>IF(ISBLANK(Table29[[#This Row],[Roster Received By]]),1,0)</f>
        <v>1</v>
      </c>
      <c r="AA87" s="15">
        <f ca="1">IF(Table29[[#This Row],[5/5/2025]]&gt;TODAY(),1,)</f>
        <v>0</v>
      </c>
    </row>
    <row r="88" spans="1:27" s="132" customFormat="1" x14ac:dyDescent="0.25">
      <c r="A88" s="61" t="s">
        <v>482</v>
      </c>
      <c r="B88" s="96" t="s">
        <v>31</v>
      </c>
      <c r="C88" s="97" t="s">
        <v>125</v>
      </c>
      <c r="D88" s="97" t="s">
        <v>126</v>
      </c>
      <c r="E88" s="96" t="s">
        <v>173</v>
      </c>
      <c r="F88" s="99">
        <v>45702</v>
      </c>
      <c r="G88" s="99">
        <v>45702</v>
      </c>
      <c r="H88" s="98">
        <v>0.33333333333333331</v>
      </c>
      <c r="I88" s="98"/>
      <c r="J88" s="98"/>
      <c r="K88" s="98"/>
      <c r="L88" s="98"/>
      <c r="M88" s="98"/>
      <c r="N88" s="98"/>
      <c r="O88" s="96" t="s">
        <v>280</v>
      </c>
      <c r="P88" s="96"/>
      <c r="Q88" s="15">
        <v>30</v>
      </c>
      <c r="R88" s="15">
        <v>1</v>
      </c>
      <c r="S88" s="15"/>
      <c r="T88" s="100"/>
      <c r="U88" s="15"/>
      <c r="V88" s="15"/>
      <c r="W88" s="15"/>
      <c r="X88" s="96"/>
      <c r="Y88" s="69">
        <f ca="1">Table29[[#This Row],[5/9/2025]]+2-TODAY()</f>
        <v>-73</v>
      </c>
      <c r="Z88" s="15">
        <f>IF(ISBLANK(Table29[[#This Row],[Roster Received By]]),1,0)</f>
        <v>1</v>
      </c>
      <c r="AA88" s="15">
        <f ca="1">IF(Table29[[#This Row],[5/5/2025]]&gt;TODAY(),1,)</f>
        <v>0</v>
      </c>
    </row>
    <row r="89" spans="1:27" s="132" customFormat="1" x14ac:dyDescent="0.25">
      <c r="A89" s="61" t="s">
        <v>484</v>
      </c>
      <c r="B89" s="96" t="s">
        <v>31</v>
      </c>
      <c r="C89" s="97" t="s">
        <v>125</v>
      </c>
      <c r="D89" s="97" t="s">
        <v>126</v>
      </c>
      <c r="E89" s="96" t="s">
        <v>86</v>
      </c>
      <c r="F89" s="99">
        <v>45713</v>
      </c>
      <c r="G89" s="99">
        <v>45713</v>
      </c>
      <c r="H89" s="98"/>
      <c r="I89" s="172">
        <v>8.3333333333333329E-2</v>
      </c>
      <c r="J89" s="98"/>
      <c r="K89" s="98"/>
      <c r="L89" s="98">
        <v>0.33333333333333331</v>
      </c>
      <c r="M89" s="98"/>
      <c r="N89" s="98"/>
      <c r="O89" s="96" t="s">
        <v>280</v>
      </c>
      <c r="P89" s="96"/>
      <c r="Q89" s="15">
        <v>30</v>
      </c>
      <c r="R89" s="15">
        <v>1</v>
      </c>
      <c r="S89" s="15"/>
      <c r="T89" s="100"/>
      <c r="U89" s="15"/>
      <c r="V89" s="15"/>
      <c r="W89" s="97"/>
      <c r="X89" s="96"/>
      <c r="Y89" s="69">
        <f ca="1">Table29[[#This Row],[5/9/2025]]+2-TODAY()</f>
        <v>-62</v>
      </c>
      <c r="Z89" s="15">
        <f>IF(ISBLANK(Table29[[#This Row],[Roster Received By]]),1,0)</f>
        <v>1</v>
      </c>
      <c r="AA89" s="15">
        <f ca="1">IF(Table29[[#This Row],[5/5/2025]]&gt;TODAY(),1,)</f>
        <v>0</v>
      </c>
    </row>
    <row r="90" spans="1:27" s="132" customFormat="1" x14ac:dyDescent="0.25">
      <c r="A90" s="61"/>
      <c r="B90" s="96" t="s">
        <v>31</v>
      </c>
      <c r="C90" s="97" t="s">
        <v>125</v>
      </c>
      <c r="D90" s="97" t="s">
        <v>126</v>
      </c>
      <c r="E90" s="64" t="s">
        <v>172</v>
      </c>
      <c r="F90" s="99">
        <v>45722</v>
      </c>
      <c r="G90" s="99">
        <v>45722</v>
      </c>
      <c r="H90" s="98">
        <v>0.33333333333333331</v>
      </c>
      <c r="I90" s="98"/>
      <c r="J90" s="102"/>
      <c r="K90" s="102"/>
      <c r="L90" s="102"/>
      <c r="M90" s="102"/>
      <c r="N90" s="102"/>
      <c r="O90" s="96" t="s">
        <v>280</v>
      </c>
      <c r="P90" s="96"/>
      <c r="Q90" s="15">
        <v>30</v>
      </c>
      <c r="R90" s="15">
        <v>1</v>
      </c>
      <c r="S90" s="15"/>
      <c r="T90" s="100"/>
      <c r="U90" s="15"/>
      <c r="V90" s="15"/>
      <c r="W90" s="15"/>
      <c r="X90" s="96"/>
      <c r="Y90" s="69">
        <f ca="1">Table29[[#This Row],[5/9/2025]]+2-TODAY()</f>
        <v>-53</v>
      </c>
      <c r="Z90" s="15">
        <f>IF(ISBLANK(Table29[[#This Row],[Roster Received By]]),1,0)</f>
        <v>1</v>
      </c>
      <c r="AA90" s="15">
        <f ca="1">IF(Table29[[#This Row],[5/5/2025]]&gt;TODAY(),1,)</f>
        <v>0</v>
      </c>
    </row>
    <row r="91" spans="1:27" s="103" customFormat="1" x14ac:dyDescent="0.25">
      <c r="A91" s="61" t="s">
        <v>485</v>
      </c>
      <c r="B91" s="96" t="s">
        <v>31</v>
      </c>
      <c r="C91" s="97" t="s">
        <v>125</v>
      </c>
      <c r="D91" s="97" t="s">
        <v>126</v>
      </c>
      <c r="E91" s="96" t="s">
        <v>86</v>
      </c>
      <c r="F91" s="170">
        <v>45733</v>
      </c>
      <c r="G91" s="170">
        <v>45733</v>
      </c>
      <c r="H91" s="98"/>
      <c r="I91" s="102">
        <v>0.45833333333333331</v>
      </c>
      <c r="J91" s="98">
        <v>0.33333333333333331</v>
      </c>
      <c r="K91" s="99"/>
      <c r="L91" s="99"/>
      <c r="M91" s="99"/>
      <c r="N91" s="99"/>
      <c r="O91" s="96" t="s">
        <v>280</v>
      </c>
      <c r="P91" s="96"/>
      <c r="Q91" s="100">
        <v>30</v>
      </c>
      <c r="R91" s="101">
        <v>1</v>
      </c>
      <c r="S91" s="100"/>
      <c r="T91" s="100"/>
      <c r="U91" s="15"/>
      <c r="V91" s="15"/>
      <c r="W91" s="15"/>
      <c r="X91" s="96"/>
      <c r="Y91" s="69">
        <f ca="1">Table29[[#This Row],[5/9/2025]]+2-TODAY()</f>
        <v>-42</v>
      </c>
      <c r="Z91" s="15">
        <f>IF(ISBLANK(Table29[[#This Row],[Roster Received By]]),1,0)</f>
        <v>1</v>
      </c>
      <c r="AA91" s="15">
        <f ca="1">IF(Table29[[#This Row],[5/5/2025]]&gt;TODAY(),1,)</f>
        <v>0</v>
      </c>
    </row>
    <row r="92" spans="1:27" s="103" customFormat="1" x14ac:dyDescent="0.25">
      <c r="A92" s="61"/>
      <c r="B92" s="96" t="s">
        <v>31</v>
      </c>
      <c r="C92" s="97" t="s">
        <v>125</v>
      </c>
      <c r="D92" s="97" t="s">
        <v>126</v>
      </c>
      <c r="E92" s="96" t="s">
        <v>176</v>
      </c>
      <c r="F92" s="99">
        <v>45743</v>
      </c>
      <c r="G92" s="99">
        <v>45743</v>
      </c>
      <c r="H92" s="98">
        <v>0.33333333333333331</v>
      </c>
      <c r="I92" s="102"/>
      <c r="J92" s="99"/>
      <c r="K92" s="99"/>
      <c r="L92" s="99"/>
      <c r="M92" s="99"/>
      <c r="N92" s="99"/>
      <c r="O92" s="96" t="s">
        <v>280</v>
      </c>
      <c r="P92" s="96"/>
      <c r="Q92" s="15">
        <v>30</v>
      </c>
      <c r="R92" s="15">
        <v>1</v>
      </c>
      <c r="S92" s="15"/>
      <c r="T92" s="100"/>
      <c r="U92" s="15"/>
      <c r="V92" s="15"/>
      <c r="W92" s="15"/>
      <c r="X92" s="96"/>
      <c r="Y92" s="69">
        <f ca="1">Table29[[#This Row],[5/9/2025]]+2-TODAY()</f>
        <v>-32</v>
      </c>
      <c r="Z92" s="15">
        <f>IF(ISBLANK(Table29[[#This Row],[Roster Received By]]),1,0)</f>
        <v>1</v>
      </c>
      <c r="AA92" s="15">
        <f ca="1">IF(Table29[[#This Row],[5/5/2025]]&gt;TODAY(),1,)</f>
        <v>0</v>
      </c>
    </row>
    <row r="93" spans="1:27" s="103" customFormat="1" x14ac:dyDescent="0.25">
      <c r="A93" s="61" t="s">
        <v>483</v>
      </c>
      <c r="B93" s="96" t="s">
        <v>31</v>
      </c>
      <c r="C93" s="97" t="s">
        <v>125</v>
      </c>
      <c r="D93" s="97" t="s">
        <v>126</v>
      </c>
      <c r="E93" s="96" t="s">
        <v>86</v>
      </c>
      <c r="F93" s="99">
        <v>45754</v>
      </c>
      <c r="G93" s="99">
        <v>45754</v>
      </c>
      <c r="H93" s="98"/>
      <c r="I93" s="98">
        <v>0.33333333333333331</v>
      </c>
      <c r="J93" s="98"/>
      <c r="K93" s="98"/>
      <c r="L93" s="98"/>
      <c r="M93" s="98"/>
      <c r="N93" s="98"/>
      <c r="O93" s="96" t="s">
        <v>280</v>
      </c>
      <c r="P93" s="96"/>
      <c r="Q93" s="15">
        <v>30</v>
      </c>
      <c r="R93" s="15">
        <v>1</v>
      </c>
      <c r="S93" s="15"/>
      <c r="T93" s="100"/>
      <c r="U93" s="15"/>
      <c r="V93" s="15"/>
      <c r="W93" s="15"/>
      <c r="X93" s="96"/>
      <c r="Y93" s="69">
        <f ca="1">Table29[[#This Row],[5/9/2025]]+2-TODAY()</f>
        <v>-21</v>
      </c>
      <c r="Z93" s="15">
        <f>IF(ISBLANK(Table29[[#This Row],[Roster Received By]]),1,0)</f>
        <v>1</v>
      </c>
      <c r="AA93" s="15">
        <f ca="1">IF(Table29[[#This Row],[5/5/2025]]&gt;TODAY(),1,)</f>
        <v>0</v>
      </c>
    </row>
    <row r="94" spans="1:27" s="103" customFormat="1" x14ac:dyDescent="0.25">
      <c r="A94" s="61"/>
      <c r="B94" s="96" t="s">
        <v>31</v>
      </c>
      <c r="C94" s="97" t="s">
        <v>125</v>
      </c>
      <c r="D94" s="97" t="s">
        <v>126</v>
      </c>
      <c r="E94" s="96" t="s">
        <v>202</v>
      </c>
      <c r="F94" s="99">
        <v>45757</v>
      </c>
      <c r="G94" s="99">
        <v>45757</v>
      </c>
      <c r="H94" s="98">
        <v>0.33333333333333331</v>
      </c>
      <c r="I94" s="105"/>
      <c r="J94" s="99"/>
      <c r="K94" s="99"/>
      <c r="L94" s="99"/>
      <c r="M94" s="99"/>
      <c r="N94" s="99"/>
      <c r="O94" s="96" t="s">
        <v>280</v>
      </c>
      <c r="P94" s="96"/>
      <c r="Q94" s="15">
        <v>30</v>
      </c>
      <c r="R94" s="15">
        <v>1</v>
      </c>
      <c r="S94" s="15"/>
      <c r="T94" s="100"/>
      <c r="U94" s="15"/>
      <c r="V94" s="15"/>
      <c r="W94" s="15"/>
      <c r="X94" s="96"/>
      <c r="Y94" s="69">
        <f ca="1">Table29[[#This Row],[5/9/2025]]+2-TODAY()</f>
        <v>-18</v>
      </c>
      <c r="Z94" s="15">
        <f>IF(ISBLANK(Table29[[#This Row],[Roster Received By]]),1,0)</f>
        <v>1</v>
      </c>
      <c r="AA94" s="15">
        <f ca="1">IF(Table29[[#This Row],[5/5/2025]]&gt;TODAY(),1,)</f>
        <v>0</v>
      </c>
    </row>
    <row r="95" spans="1:27" s="103" customFormat="1" x14ac:dyDescent="0.25">
      <c r="A95" s="61"/>
      <c r="B95" s="96" t="s">
        <v>31</v>
      </c>
      <c r="C95" s="97" t="s">
        <v>125</v>
      </c>
      <c r="D95" s="97" t="s">
        <v>126</v>
      </c>
      <c r="E95" s="96" t="s">
        <v>174</v>
      </c>
      <c r="F95" s="99">
        <v>45785</v>
      </c>
      <c r="G95" s="99">
        <v>45785</v>
      </c>
      <c r="H95" s="98">
        <v>0.33333333333333331</v>
      </c>
      <c r="I95" s="98"/>
      <c r="J95" s="98"/>
      <c r="K95" s="98"/>
      <c r="L95" s="98"/>
      <c r="M95" s="98"/>
      <c r="N95" s="98"/>
      <c r="O95" s="96" t="s">
        <v>280</v>
      </c>
      <c r="P95" s="96"/>
      <c r="Q95" s="15">
        <v>30</v>
      </c>
      <c r="R95" s="15">
        <v>1</v>
      </c>
      <c r="S95" s="15"/>
      <c r="T95" s="100"/>
      <c r="U95" s="15"/>
      <c r="V95" s="15"/>
      <c r="W95" s="15"/>
      <c r="X95" s="96"/>
      <c r="Y95" s="69">
        <f ca="1">Table29[[#This Row],[5/9/2025]]+2-TODAY()</f>
        <v>10</v>
      </c>
      <c r="Z95" s="15">
        <f>IF(ISBLANK(Table29[[#This Row],[Roster Received By]]),1,0)</f>
        <v>1</v>
      </c>
      <c r="AA95" s="15">
        <f ca="1">IF(Table29[[#This Row],[5/5/2025]]&gt;TODAY(),1,)</f>
        <v>1</v>
      </c>
    </row>
    <row r="96" spans="1:27" s="103" customFormat="1" x14ac:dyDescent="0.25">
      <c r="A96" s="96"/>
      <c r="B96" s="96" t="s">
        <v>31</v>
      </c>
      <c r="C96" s="97" t="s">
        <v>125</v>
      </c>
      <c r="D96" s="97" t="s">
        <v>126</v>
      </c>
      <c r="E96" s="96" t="s">
        <v>198</v>
      </c>
      <c r="F96" s="99">
        <v>45792</v>
      </c>
      <c r="G96" s="99">
        <v>45792</v>
      </c>
      <c r="H96" s="98">
        <v>0.33333333333333331</v>
      </c>
      <c r="I96" s="98"/>
      <c r="J96" s="99"/>
      <c r="K96" s="99"/>
      <c r="L96" s="99"/>
      <c r="M96" s="99"/>
      <c r="N96" s="99"/>
      <c r="O96" s="96" t="s">
        <v>280</v>
      </c>
      <c r="P96" s="96"/>
      <c r="Q96" s="15">
        <v>30</v>
      </c>
      <c r="R96" s="15">
        <v>1</v>
      </c>
      <c r="S96" s="15"/>
      <c r="T96" s="100"/>
      <c r="U96" s="15"/>
      <c r="V96" s="15"/>
      <c r="W96" s="15"/>
      <c r="X96" s="96"/>
      <c r="Y96" s="69">
        <f ca="1">Table29[[#This Row],[5/9/2025]]+2-TODAY()</f>
        <v>17</v>
      </c>
      <c r="Z96" s="15">
        <f>IF(ISBLANK(Table29[[#This Row],[Roster Received By]]),1,0)</f>
        <v>1</v>
      </c>
      <c r="AA96" s="15">
        <f ca="1">IF(Table29[[#This Row],[5/5/2025]]&gt;TODAY(),1,)</f>
        <v>1</v>
      </c>
    </row>
    <row r="97" spans="1:27" s="103" customFormat="1" x14ac:dyDescent="0.25">
      <c r="A97" s="61" t="s">
        <v>486</v>
      </c>
      <c r="B97" s="96" t="s">
        <v>31</v>
      </c>
      <c r="C97" s="97" t="s">
        <v>125</v>
      </c>
      <c r="D97" s="97" t="s">
        <v>126</v>
      </c>
      <c r="E97" s="96" t="s">
        <v>86</v>
      </c>
      <c r="F97" s="99">
        <v>45818</v>
      </c>
      <c r="G97" s="99">
        <v>45818</v>
      </c>
      <c r="H97" s="98"/>
      <c r="I97" s="173">
        <v>0.79166666666666663</v>
      </c>
      <c r="J97" s="102"/>
      <c r="K97" s="102"/>
      <c r="L97" s="102"/>
      <c r="M97" s="136"/>
      <c r="N97" s="98">
        <v>0.33333333333333331</v>
      </c>
      <c r="O97" s="96" t="s">
        <v>280</v>
      </c>
      <c r="P97" s="96"/>
      <c r="Q97" s="15">
        <v>30</v>
      </c>
      <c r="R97" s="15">
        <v>1</v>
      </c>
      <c r="S97" s="15"/>
      <c r="T97" s="100"/>
      <c r="U97" s="15"/>
      <c r="V97" s="15"/>
      <c r="W97" s="15"/>
      <c r="X97" s="96"/>
      <c r="Y97" s="69">
        <f ca="1">Table29[[#This Row],[5/9/2025]]+2-TODAY()</f>
        <v>43</v>
      </c>
      <c r="Z97" s="15">
        <f>IF(ISBLANK(Table29[[#This Row],[Roster Received By]]),1,0)</f>
        <v>1</v>
      </c>
      <c r="AA97" s="15">
        <f ca="1">IF(Table29[[#This Row],[5/5/2025]]&gt;TODAY(),1,)</f>
        <v>1</v>
      </c>
    </row>
    <row r="98" spans="1:27" s="103" customFormat="1" x14ac:dyDescent="0.25">
      <c r="A98" s="61"/>
      <c r="B98" s="96" t="s">
        <v>31</v>
      </c>
      <c r="C98" s="97" t="s">
        <v>125</v>
      </c>
      <c r="D98" s="97" t="s">
        <v>126</v>
      </c>
      <c r="E98" s="96" t="s">
        <v>215</v>
      </c>
      <c r="F98" s="99">
        <v>45820</v>
      </c>
      <c r="G98" s="99">
        <v>45820</v>
      </c>
      <c r="H98" s="98">
        <v>0.33333333333333331</v>
      </c>
      <c r="I98" s="98"/>
      <c r="J98" s="98"/>
      <c r="K98" s="98"/>
      <c r="L98" s="98"/>
      <c r="M98" s="98"/>
      <c r="N98" s="98"/>
      <c r="O98" s="96" t="s">
        <v>280</v>
      </c>
      <c r="P98" s="96"/>
      <c r="Q98" s="15">
        <v>30</v>
      </c>
      <c r="R98" s="15">
        <v>1</v>
      </c>
      <c r="S98" s="15"/>
      <c r="T98" s="100"/>
      <c r="U98" s="15"/>
      <c r="V98" s="15"/>
      <c r="W98" s="15"/>
      <c r="X98" s="96"/>
      <c r="Y98" s="69">
        <f ca="1">Table29[[#This Row],[5/9/2025]]+2-TODAY()</f>
        <v>45</v>
      </c>
      <c r="Z98" s="15">
        <f>IF(ISBLANK(Table29[[#This Row],[Roster Received By]]),1,0)</f>
        <v>1</v>
      </c>
      <c r="AA98" s="15">
        <f ca="1">IF(Table29[[#This Row],[5/5/2025]]&gt;TODAY(),1,)</f>
        <v>1</v>
      </c>
    </row>
    <row r="99" spans="1:27" s="103" customFormat="1" x14ac:dyDescent="0.25">
      <c r="A99" s="61"/>
      <c r="B99" s="96" t="s">
        <v>31</v>
      </c>
      <c r="C99" s="97" t="s">
        <v>125</v>
      </c>
      <c r="D99" s="97" t="s">
        <v>126</v>
      </c>
      <c r="E99" s="96" t="s">
        <v>205</v>
      </c>
      <c r="F99" s="99">
        <v>45855</v>
      </c>
      <c r="G99" s="99">
        <v>45855</v>
      </c>
      <c r="H99" s="98">
        <v>0.33333333333333331</v>
      </c>
      <c r="I99" s="98"/>
      <c r="J99" s="99"/>
      <c r="K99" s="99"/>
      <c r="L99" s="99"/>
      <c r="M99" s="99"/>
      <c r="N99" s="99"/>
      <c r="O99" s="96" t="s">
        <v>280</v>
      </c>
      <c r="P99" s="96"/>
      <c r="Q99" s="15">
        <v>30</v>
      </c>
      <c r="R99" s="15">
        <v>1</v>
      </c>
      <c r="S99" s="100"/>
      <c r="T99" s="100"/>
      <c r="U99" s="15"/>
      <c r="V99" s="15"/>
      <c r="W99" s="15"/>
      <c r="X99" s="96"/>
      <c r="Y99" s="69">
        <f ca="1">Table29[[#This Row],[5/9/2025]]+2-TODAY()</f>
        <v>80</v>
      </c>
      <c r="Z99" s="15">
        <f>IF(ISBLANK(Table29[[#This Row],[Roster Received By]]),1,0)</f>
        <v>1</v>
      </c>
      <c r="AA99" s="15">
        <f ca="1">IF(Table29[[#This Row],[5/5/2025]]&gt;TODAY(),1,)</f>
        <v>1</v>
      </c>
    </row>
    <row r="100" spans="1:27" s="103" customFormat="1" x14ac:dyDescent="0.25">
      <c r="A100" s="61"/>
      <c r="B100" s="96" t="s">
        <v>31</v>
      </c>
      <c r="C100" s="97" t="s">
        <v>125</v>
      </c>
      <c r="D100" s="97" t="s">
        <v>126</v>
      </c>
      <c r="E100" s="64" t="s">
        <v>162</v>
      </c>
      <c r="F100" s="99">
        <v>45862</v>
      </c>
      <c r="G100" s="99">
        <v>45862</v>
      </c>
      <c r="H100" s="98">
        <v>0.33333333333333331</v>
      </c>
      <c r="I100" s="102"/>
      <c r="J100" s="98"/>
      <c r="K100" s="102"/>
      <c r="L100" s="102"/>
      <c r="M100" s="102"/>
      <c r="N100" s="102"/>
      <c r="O100" s="96" t="s">
        <v>280</v>
      </c>
      <c r="P100" s="96"/>
      <c r="Q100" s="15">
        <v>30</v>
      </c>
      <c r="R100" s="15">
        <v>1</v>
      </c>
      <c r="S100" s="15"/>
      <c r="T100" s="100"/>
      <c r="U100" s="15"/>
      <c r="V100" s="15"/>
      <c r="W100" s="15"/>
      <c r="X100" s="96"/>
      <c r="Y100" s="69">
        <f ca="1">Table29[[#This Row],[5/9/2025]]+2-TODAY()</f>
        <v>87</v>
      </c>
      <c r="Z100" s="15">
        <f>IF(ISBLANK(Table29[[#This Row],[Roster Received By]]),1,0)</f>
        <v>1</v>
      </c>
      <c r="AA100" s="15">
        <f ca="1">IF(Table29[[#This Row],[5/5/2025]]&gt;TODAY(),1,)</f>
        <v>1</v>
      </c>
    </row>
    <row r="101" spans="1:27" s="103" customFormat="1" x14ac:dyDescent="0.25">
      <c r="A101" s="96" t="s">
        <v>485</v>
      </c>
      <c r="B101" s="96" t="s">
        <v>31</v>
      </c>
      <c r="C101" s="97" t="s">
        <v>125</v>
      </c>
      <c r="D101" s="97" t="s">
        <v>126</v>
      </c>
      <c r="E101" s="96" t="s">
        <v>86</v>
      </c>
      <c r="F101" s="99">
        <v>45873</v>
      </c>
      <c r="G101" s="99">
        <v>45873</v>
      </c>
      <c r="H101" s="98"/>
      <c r="I101" s="105">
        <v>0.45833333333333331</v>
      </c>
      <c r="J101" s="98">
        <v>0.33333333333333331</v>
      </c>
      <c r="K101" s="99"/>
      <c r="L101" s="99"/>
      <c r="M101" s="99"/>
      <c r="N101" s="99"/>
      <c r="O101" s="96" t="s">
        <v>280</v>
      </c>
      <c r="P101" s="96"/>
      <c r="Q101" s="15">
        <v>30</v>
      </c>
      <c r="R101" s="15">
        <v>1</v>
      </c>
      <c r="S101" s="15"/>
      <c r="T101" s="100"/>
      <c r="U101" s="15"/>
      <c r="V101" s="15"/>
      <c r="W101" s="15"/>
      <c r="X101" s="96"/>
      <c r="Y101" s="69">
        <f ca="1">Table29[[#This Row],[5/9/2025]]+2-TODAY()</f>
        <v>98</v>
      </c>
      <c r="Z101" s="15">
        <f>IF(ISBLANK(Table29[[#This Row],[Roster Received By]]),1,0)</f>
        <v>1</v>
      </c>
      <c r="AA101" s="15">
        <f ca="1">IF(Table29[[#This Row],[5/5/2025]]&gt;TODAY(),1,)</f>
        <v>1</v>
      </c>
    </row>
    <row r="102" spans="1:27" s="103" customFormat="1" x14ac:dyDescent="0.25">
      <c r="A102" s="97"/>
      <c r="B102" s="96" t="s">
        <v>31</v>
      </c>
      <c r="C102" s="97" t="s">
        <v>125</v>
      </c>
      <c r="D102" s="97" t="s">
        <v>126</v>
      </c>
      <c r="E102" s="96" t="s">
        <v>198</v>
      </c>
      <c r="F102" s="66">
        <v>45876</v>
      </c>
      <c r="G102" s="66">
        <v>45876</v>
      </c>
      <c r="H102" s="98">
        <v>0.33333333333333331</v>
      </c>
      <c r="I102" s="102"/>
      <c r="J102" s="102"/>
      <c r="K102" s="102"/>
      <c r="L102" s="102"/>
      <c r="M102" s="98"/>
      <c r="N102" s="102"/>
      <c r="O102" s="96" t="s">
        <v>280</v>
      </c>
      <c r="P102" s="96"/>
      <c r="Q102" s="15">
        <v>30</v>
      </c>
      <c r="R102" s="15">
        <v>1</v>
      </c>
      <c r="S102" s="15"/>
      <c r="T102" s="100"/>
      <c r="U102" s="15"/>
      <c r="V102" s="15"/>
      <c r="W102" s="100"/>
      <c r="X102" s="96"/>
      <c r="Y102" s="69">
        <f ca="1">Table29[[#This Row],[5/9/2025]]+2-TODAY()</f>
        <v>101</v>
      </c>
      <c r="Z102" s="15">
        <f>IF(ISBLANK(Table29[[#This Row],[Roster Received By]]),1,0)</f>
        <v>1</v>
      </c>
      <c r="AA102" s="15">
        <f ca="1">IF(Table29[[#This Row],[5/5/2025]]&gt;TODAY(),1,)</f>
        <v>1</v>
      </c>
    </row>
    <row r="103" spans="1:27" s="103" customFormat="1" x14ac:dyDescent="0.25">
      <c r="A103" s="61"/>
      <c r="B103" s="96" t="s">
        <v>31</v>
      </c>
      <c r="C103" s="97" t="s">
        <v>125</v>
      </c>
      <c r="D103" s="97" t="s">
        <v>126</v>
      </c>
      <c r="E103" s="96" t="s">
        <v>220</v>
      </c>
      <c r="F103" s="66">
        <v>45890</v>
      </c>
      <c r="G103" s="66">
        <v>45890</v>
      </c>
      <c r="H103" s="98">
        <v>0.33333333333333331</v>
      </c>
      <c r="I103" s="102"/>
      <c r="J103" s="98"/>
      <c r="K103" s="102"/>
      <c r="L103" s="102"/>
      <c r="M103" s="102"/>
      <c r="N103" s="102"/>
      <c r="O103" s="96" t="s">
        <v>280</v>
      </c>
      <c r="P103" s="96"/>
      <c r="Q103" s="15">
        <v>30</v>
      </c>
      <c r="R103" s="15">
        <v>1</v>
      </c>
      <c r="S103" s="15"/>
      <c r="T103" s="100"/>
      <c r="U103" s="15"/>
      <c r="V103" s="15"/>
      <c r="W103" s="15"/>
      <c r="X103" s="96"/>
      <c r="Y103" s="69">
        <f ca="1">Table29[[#This Row],[5/9/2025]]+2-TODAY()</f>
        <v>115</v>
      </c>
      <c r="Z103" s="15">
        <f>IF(ISBLANK(Table29[[#This Row],[Roster Received By]]),1,0)</f>
        <v>1</v>
      </c>
      <c r="AA103" s="15">
        <f ca="1">IF(Table29[[#This Row],[5/5/2025]]&gt;TODAY(),1,)</f>
        <v>1</v>
      </c>
    </row>
    <row r="104" spans="1:27" s="132" customFormat="1" x14ac:dyDescent="0.25">
      <c r="A104" s="61"/>
      <c r="B104" s="96" t="s">
        <v>31</v>
      </c>
      <c r="C104" s="97" t="s">
        <v>125</v>
      </c>
      <c r="D104" s="97" t="s">
        <v>126</v>
      </c>
      <c r="E104" s="96" t="s">
        <v>175</v>
      </c>
      <c r="F104" s="99">
        <v>45905</v>
      </c>
      <c r="G104" s="99">
        <v>45905</v>
      </c>
      <c r="H104" s="98">
        <v>0.33333333333333331</v>
      </c>
      <c r="I104" s="102"/>
      <c r="J104" s="99"/>
      <c r="K104" s="99"/>
      <c r="L104" s="99"/>
      <c r="M104" s="99"/>
      <c r="N104" s="99"/>
      <c r="O104" s="96" t="s">
        <v>280</v>
      </c>
      <c r="P104" s="96"/>
      <c r="Q104" s="100">
        <v>30</v>
      </c>
      <c r="R104" s="101">
        <v>1</v>
      </c>
      <c r="S104" s="100"/>
      <c r="T104" s="100"/>
      <c r="U104" s="15"/>
      <c r="V104" s="15"/>
      <c r="W104" s="15"/>
      <c r="X104" s="96"/>
      <c r="Y104" s="69">
        <f ca="1">Table29[[#This Row],[5/9/2025]]+2-TODAY()</f>
        <v>130</v>
      </c>
      <c r="Z104" s="15">
        <f>IF(ISBLANK(Table29[[#This Row],[Roster Received By]]),1,0)</f>
        <v>1</v>
      </c>
      <c r="AA104" s="15">
        <f ca="1">IF(Table29[[#This Row],[5/5/2025]]&gt;TODAY(),1,)</f>
        <v>1</v>
      </c>
    </row>
    <row r="105" spans="1:27" s="103" customFormat="1" x14ac:dyDescent="0.25">
      <c r="A105" s="61"/>
      <c r="B105" s="96" t="s">
        <v>31</v>
      </c>
      <c r="C105" s="97" t="s">
        <v>125</v>
      </c>
      <c r="D105" s="97" t="s">
        <v>126</v>
      </c>
      <c r="E105" s="96" t="s">
        <v>204</v>
      </c>
      <c r="F105" s="99">
        <v>45911</v>
      </c>
      <c r="G105" s="99">
        <v>45911</v>
      </c>
      <c r="H105" s="98">
        <v>0.33333333333333331</v>
      </c>
      <c r="I105" s="102"/>
      <c r="J105" s="102"/>
      <c r="K105" s="102"/>
      <c r="L105" s="102"/>
      <c r="M105" s="102"/>
      <c r="N105" s="102"/>
      <c r="O105" s="96" t="s">
        <v>280</v>
      </c>
      <c r="P105" s="96"/>
      <c r="Q105" s="15">
        <v>30</v>
      </c>
      <c r="R105" s="15">
        <v>1</v>
      </c>
      <c r="S105" s="15"/>
      <c r="T105" s="100"/>
      <c r="U105" s="15"/>
      <c r="V105" s="15"/>
      <c r="W105" s="15"/>
      <c r="X105" s="96"/>
      <c r="Y105" s="69">
        <f ca="1">Table29[[#This Row],[5/9/2025]]+2-TODAY()</f>
        <v>136</v>
      </c>
      <c r="Z105" s="15">
        <f>IF(ISBLANK(Table29[[#This Row],[Roster Received By]]),1,0)</f>
        <v>1</v>
      </c>
      <c r="AA105" s="15">
        <f ca="1">IF(Table29[[#This Row],[5/5/2025]]&gt;TODAY(),1,)</f>
        <v>1</v>
      </c>
    </row>
    <row r="106" spans="1:27" s="61" customFormat="1" x14ac:dyDescent="0.25">
      <c r="A106" s="96" t="s">
        <v>484</v>
      </c>
      <c r="B106" s="96" t="s">
        <v>31</v>
      </c>
      <c r="C106" s="97" t="s">
        <v>125</v>
      </c>
      <c r="D106" s="97" t="s">
        <v>126</v>
      </c>
      <c r="E106" s="96" t="s">
        <v>86</v>
      </c>
      <c r="F106" s="99">
        <v>45923</v>
      </c>
      <c r="G106" s="99">
        <v>45923</v>
      </c>
      <c r="H106" s="98"/>
      <c r="I106" s="102">
        <v>8.3333333333333329E-2</v>
      </c>
      <c r="J106" s="98"/>
      <c r="K106" s="98"/>
      <c r="L106" s="98">
        <v>0.33333333333333331</v>
      </c>
      <c r="M106" s="98"/>
      <c r="N106" s="98"/>
      <c r="O106" s="96" t="s">
        <v>280</v>
      </c>
      <c r="P106" s="96"/>
      <c r="Q106" s="15">
        <v>30</v>
      </c>
      <c r="R106" s="15">
        <v>1</v>
      </c>
      <c r="S106" s="15"/>
      <c r="T106" s="100"/>
      <c r="U106" s="15"/>
      <c r="V106" s="15"/>
      <c r="W106" s="15"/>
      <c r="X106" s="96"/>
      <c r="Y106" s="69">
        <f ca="1">Table29[[#This Row],[5/9/2025]]+2-TODAY()</f>
        <v>148</v>
      </c>
      <c r="Z106" s="15">
        <f>IF(ISBLANK(Table29[[#This Row],[Roster Received By]]),1,0)</f>
        <v>1</v>
      </c>
      <c r="AA106" s="15">
        <f ca="1">IF(Table29[[#This Row],[5/5/2025]]&gt;TODAY(),1,)</f>
        <v>1</v>
      </c>
    </row>
    <row r="107" spans="1:27" s="61" customFormat="1" x14ac:dyDescent="0.25">
      <c r="B107" s="96" t="s">
        <v>32</v>
      </c>
      <c r="C107" s="97" t="s">
        <v>127</v>
      </c>
      <c r="D107" s="97" t="s">
        <v>128</v>
      </c>
      <c r="E107" s="96" t="s">
        <v>205</v>
      </c>
      <c r="F107" s="99">
        <v>45678</v>
      </c>
      <c r="G107" s="99">
        <v>45679</v>
      </c>
      <c r="H107" s="98">
        <v>0.33333333333333331</v>
      </c>
      <c r="I107" s="98"/>
      <c r="J107" s="98"/>
      <c r="K107" s="98"/>
      <c r="L107" s="98"/>
      <c r="M107" s="98"/>
      <c r="N107" s="98"/>
      <c r="O107" s="96" t="s">
        <v>280</v>
      </c>
      <c r="P107" s="96"/>
      <c r="Q107" s="15">
        <v>30</v>
      </c>
      <c r="R107" s="15">
        <v>2</v>
      </c>
      <c r="S107" s="15"/>
      <c r="T107" s="100"/>
      <c r="U107" s="15"/>
      <c r="V107" s="15"/>
      <c r="W107" s="15"/>
      <c r="X107" s="96"/>
      <c r="Y107" s="69">
        <f ca="1">Table29[[#This Row],[5/9/2025]]+2-TODAY()</f>
        <v>-96</v>
      </c>
      <c r="Z107" s="15">
        <f>IF(ISBLANK(Table29[[#This Row],[Roster Received By]]),1,0)</f>
        <v>1</v>
      </c>
      <c r="AA107" s="15">
        <f ca="1">IF(Table29[[#This Row],[5/5/2025]]&gt;TODAY(),1,)</f>
        <v>0</v>
      </c>
    </row>
    <row r="108" spans="1:27" s="61" customFormat="1" x14ac:dyDescent="0.25">
      <c r="A108" s="61" t="s">
        <v>482</v>
      </c>
      <c r="B108" s="96" t="s">
        <v>32</v>
      </c>
      <c r="C108" s="97" t="s">
        <v>127</v>
      </c>
      <c r="D108" s="97" t="s">
        <v>128</v>
      </c>
      <c r="E108" s="96" t="s">
        <v>173</v>
      </c>
      <c r="F108" s="99">
        <v>45691</v>
      </c>
      <c r="G108" s="99">
        <v>45692</v>
      </c>
      <c r="H108" s="98">
        <v>0.33333333333333331</v>
      </c>
      <c r="I108" s="98"/>
      <c r="J108" s="98"/>
      <c r="K108" s="98"/>
      <c r="L108" s="98"/>
      <c r="M108" s="98"/>
      <c r="N108" s="98"/>
      <c r="O108" s="96" t="s">
        <v>280</v>
      </c>
      <c r="P108" s="96"/>
      <c r="Q108" s="15">
        <v>30</v>
      </c>
      <c r="R108" s="15">
        <v>2</v>
      </c>
      <c r="S108" s="15"/>
      <c r="T108" s="100"/>
      <c r="U108" s="15"/>
      <c r="V108" s="15"/>
      <c r="W108" s="15"/>
      <c r="X108" s="96"/>
      <c r="Y108" s="69">
        <f ca="1">Table29[[#This Row],[5/9/2025]]+2-TODAY()</f>
        <v>-83</v>
      </c>
      <c r="Z108" s="15">
        <f>IF(ISBLANK(Table29[[#This Row],[Roster Received By]]),1,0)</f>
        <v>1</v>
      </c>
      <c r="AA108" s="15">
        <f ca="1">IF(Table29[[#This Row],[5/5/2025]]&gt;TODAY(),1,)</f>
        <v>0</v>
      </c>
    </row>
    <row r="109" spans="1:27" s="61" customFormat="1" x14ac:dyDescent="0.25">
      <c r="B109" s="96" t="s">
        <v>32</v>
      </c>
      <c r="C109" s="97" t="s">
        <v>127</v>
      </c>
      <c r="D109" s="97" t="s">
        <v>128</v>
      </c>
      <c r="E109" s="96" t="s">
        <v>160</v>
      </c>
      <c r="F109" s="99">
        <v>45726</v>
      </c>
      <c r="G109" s="99">
        <v>45727</v>
      </c>
      <c r="H109" s="98">
        <v>0.33333333333333331</v>
      </c>
      <c r="I109" s="98"/>
      <c r="J109" s="98"/>
      <c r="K109" s="98"/>
      <c r="L109" s="98"/>
      <c r="M109" s="98"/>
      <c r="N109" s="98"/>
      <c r="O109" s="96" t="s">
        <v>280</v>
      </c>
      <c r="P109" s="96"/>
      <c r="Q109" s="15">
        <v>30</v>
      </c>
      <c r="R109" s="15">
        <v>2</v>
      </c>
      <c r="S109" s="15"/>
      <c r="T109" s="100"/>
      <c r="U109" s="15"/>
      <c r="V109" s="15"/>
      <c r="W109" s="15"/>
      <c r="X109" s="96"/>
      <c r="Y109" s="69">
        <f ca="1">Table29[[#This Row],[5/9/2025]]+2-TODAY()</f>
        <v>-48</v>
      </c>
      <c r="Z109" s="15">
        <f>IF(ISBLANK(Table29[[#This Row],[Roster Received By]]),1,0)</f>
        <v>1</v>
      </c>
      <c r="AA109" s="15">
        <f ca="1">IF(Table29[[#This Row],[5/5/2025]]&gt;TODAY(),1,)</f>
        <v>0</v>
      </c>
    </row>
    <row r="110" spans="1:27" s="61" customFormat="1" x14ac:dyDescent="0.25">
      <c r="A110" s="96"/>
      <c r="B110" s="96" t="s">
        <v>32</v>
      </c>
      <c r="C110" s="97" t="s">
        <v>127</v>
      </c>
      <c r="D110" s="97" t="s">
        <v>128</v>
      </c>
      <c r="E110" s="96" t="s">
        <v>220</v>
      </c>
      <c r="F110" s="99">
        <v>45733</v>
      </c>
      <c r="G110" s="99">
        <v>45734</v>
      </c>
      <c r="H110" s="98">
        <v>0.33333333333333331</v>
      </c>
      <c r="I110" s="98"/>
      <c r="J110" s="98"/>
      <c r="K110" s="98"/>
      <c r="L110" s="98"/>
      <c r="M110" s="98"/>
      <c r="N110" s="98"/>
      <c r="O110" s="96" t="s">
        <v>280</v>
      </c>
      <c r="P110" s="96"/>
      <c r="Q110" s="15">
        <v>30</v>
      </c>
      <c r="R110" s="15">
        <v>2</v>
      </c>
      <c r="S110" s="15"/>
      <c r="T110" s="100"/>
      <c r="U110" s="15"/>
      <c r="V110" s="15"/>
      <c r="W110" s="15"/>
      <c r="X110" s="96"/>
      <c r="Y110" s="69">
        <f ca="1">Table29[[#This Row],[5/9/2025]]+2-TODAY()</f>
        <v>-41</v>
      </c>
      <c r="Z110" s="15">
        <f>IF(ISBLANK(Table29[[#This Row],[Roster Received By]]),1,0)</f>
        <v>1</v>
      </c>
      <c r="AA110" s="15">
        <f ca="1">IF(Table29[[#This Row],[5/5/2025]]&gt;TODAY(),1,)</f>
        <v>0</v>
      </c>
    </row>
    <row r="111" spans="1:27" s="61" customFormat="1" x14ac:dyDescent="0.25">
      <c r="B111" s="96" t="s">
        <v>32</v>
      </c>
      <c r="C111" s="97" t="s">
        <v>127</v>
      </c>
      <c r="D111" s="97" t="s">
        <v>128</v>
      </c>
      <c r="E111" s="96" t="s">
        <v>213</v>
      </c>
      <c r="F111" s="99">
        <v>45754</v>
      </c>
      <c r="G111" s="99">
        <v>45755</v>
      </c>
      <c r="H111" s="98">
        <v>0.33333333333333331</v>
      </c>
      <c r="I111" s="102"/>
      <c r="J111" s="99"/>
      <c r="K111" s="99"/>
      <c r="L111" s="99"/>
      <c r="M111" s="99"/>
      <c r="N111" s="99"/>
      <c r="O111" s="96" t="s">
        <v>280</v>
      </c>
      <c r="P111" s="96"/>
      <c r="Q111" s="15">
        <v>30</v>
      </c>
      <c r="R111" s="15">
        <v>2</v>
      </c>
      <c r="S111" s="15"/>
      <c r="T111" s="100"/>
      <c r="U111" s="15"/>
      <c r="V111" s="15"/>
      <c r="W111" s="15"/>
      <c r="X111" s="96"/>
      <c r="Y111" s="69">
        <f ca="1">Table29[[#This Row],[5/9/2025]]+2-TODAY()</f>
        <v>-20</v>
      </c>
      <c r="Z111" s="15">
        <f>IF(ISBLANK(Table29[[#This Row],[Roster Received By]]),1,0)</f>
        <v>1</v>
      </c>
      <c r="AA111" s="15">
        <f ca="1">IF(Table29[[#This Row],[5/5/2025]]&gt;TODAY(),1,)</f>
        <v>0</v>
      </c>
    </row>
    <row r="112" spans="1:27" s="61" customFormat="1" x14ac:dyDescent="0.25">
      <c r="B112" s="96" t="s">
        <v>32</v>
      </c>
      <c r="C112" s="97" t="s">
        <v>127</v>
      </c>
      <c r="D112" s="97" t="s">
        <v>128</v>
      </c>
      <c r="E112" s="64" t="s">
        <v>162</v>
      </c>
      <c r="F112" s="66">
        <v>45761</v>
      </c>
      <c r="G112" s="66">
        <v>45762</v>
      </c>
      <c r="H112" s="98">
        <v>0.33333333333333331</v>
      </c>
      <c r="I112" s="98"/>
      <c r="J112" s="99"/>
      <c r="K112" s="99"/>
      <c r="L112" s="99"/>
      <c r="M112" s="99"/>
      <c r="N112" s="99"/>
      <c r="O112" s="96" t="s">
        <v>280</v>
      </c>
      <c r="P112" s="96"/>
      <c r="Q112" s="15">
        <v>30</v>
      </c>
      <c r="R112" s="15">
        <v>2</v>
      </c>
      <c r="S112" s="15"/>
      <c r="T112" s="100"/>
      <c r="U112" s="15"/>
      <c r="V112" s="15"/>
      <c r="W112" s="15"/>
      <c r="X112" s="96"/>
      <c r="Y112" s="69">
        <f ca="1">Table29[[#This Row],[5/9/2025]]+2-TODAY()</f>
        <v>-13</v>
      </c>
      <c r="Z112" s="15">
        <f>IF(ISBLANK(Table29[[#This Row],[Roster Received By]]),1,0)</f>
        <v>1</v>
      </c>
      <c r="AA112" s="15">
        <f ca="1">IF(Table29[[#This Row],[5/5/2025]]&gt;TODAY(),1,)</f>
        <v>0</v>
      </c>
    </row>
    <row r="113" spans="1:27" s="61" customFormat="1" ht="15.75" thickBot="1" x14ac:dyDescent="0.3">
      <c r="A113" s="174"/>
      <c r="B113" s="140" t="s">
        <v>32</v>
      </c>
      <c r="C113" s="97" t="s">
        <v>127</v>
      </c>
      <c r="D113" s="97" t="s">
        <v>128</v>
      </c>
      <c r="E113" s="108" t="s">
        <v>202</v>
      </c>
      <c r="F113" s="66">
        <v>45782</v>
      </c>
      <c r="G113" s="66">
        <v>45783</v>
      </c>
      <c r="H113" s="98">
        <v>0.33333333333333331</v>
      </c>
      <c r="I113" s="105" t="s">
        <v>487</v>
      </c>
      <c r="J113" s="142"/>
      <c r="K113" s="142"/>
      <c r="L113" s="142"/>
      <c r="M113" s="142"/>
      <c r="N113" s="142"/>
      <c r="O113" s="96" t="s">
        <v>280</v>
      </c>
      <c r="P113" s="96"/>
      <c r="Q113" s="15">
        <v>30</v>
      </c>
      <c r="R113" s="15">
        <v>2</v>
      </c>
      <c r="S113" s="175"/>
      <c r="T113" s="100"/>
      <c r="U113" s="15"/>
      <c r="V113" s="15"/>
      <c r="W113" s="15"/>
      <c r="X113" s="96"/>
      <c r="Y113" s="69">
        <f ca="1">Table29[[#This Row],[5/9/2025]]+2-TODAY()</f>
        <v>8</v>
      </c>
      <c r="Z113" s="15">
        <f>IF(ISBLANK(Table29[[#This Row],[Roster Received By]]),1,0)</f>
        <v>1</v>
      </c>
      <c r="AA113" s="15">
        <f ca="1">IF(Table29[[#This Row],[5/5/2025]]&gt;TODAY(),1,)</f>
        <v>1</v>
      </c>
    </row>
    <row r="114" spans="1:27" s="61" customFormat="1" ht="15.75" thickTop="1" x14ac:dyDescent="0.25">
      <c r="B114" s="96" t="s">
        <v>32</v>
      </c>
      <c r="C114" s="97" t="s">
        <v>127</v>
      </c>
      <c r="D114" s="97" t="s">
        <v>128</v>
      </c>
      <c r="E114" s="96" t="s">
        <v>170</v>
      </c>
      <c r="F114" s="170">
        <v>45845</v>
      </c>
      <c r="G114" s="170">
        <v>45846</v>
      </c>
      <c r="H114" s="98">
        <v>0.33333333333333331</v>
      </c>
      <c r="I114" s="98"/>
      <c r="J114" s="98"/>
      <c r="K114" s="98"/>
      <c r="L114" s="98"/>
      <c r="M114" s="98"/>
      <c r="N114" s="98"/>
      <c r="O114" s="96" t="s">
        <v>280</v>
      </c>
      <c r="P114" s="96"/>
      <c r="Q114" s="15">
        <v>30</v>
      </c>
      <c r="R114" s="15">
        <v>2</v>
      </c>
      <c r="S114" s="15"/>
      <c r="T114" s="100"/>
      <c r="U114" s="15"/>
      <c r="V114" s="15"/>
      <c r="W114" s="97"/>
      <c r="X114" s="96"/>
      <c r="Y114" s="69">
        <f ca="1">Table29[[#This Row],[5/9/2025]]+2-TODAY()</f>
        <v>71</v>
      </c>
      <c r="Z114" s="15">
        <f>IF(ISBLANK(Table29[[#This Row],[Roster Received By]]),1,0)</f>
        <v>1</v>
      </c>
      <c r="AA114" s="15">
        <f ca="1">IF(Table29[[#This Row],[5/5/2025]]&gt;TODAY(),1,)</f>
        <v>1</v>
      </c>
    </row>
    <row r="115" spans="1:27" x14ac:dyDescent="0.25">
      <c r="A115" s="61"/>
      <c r="B115" s="96" t="s">
        <v>32</v>
      </c>
      <c r="C115" s="97" t="s">
        <v>127</v>
      </c>
      <c r="D115" s="97" t="s">
        <v>128</v>
      </c>
      <c r="E115" s="96" t="s">
        <v>176</v>
      </c>
      <c r="F115" s="99">
        <v>45880</v>
      </c>
      <c r="G115" s="99">
        <v>45881</v>
      </c>
      <c r="H115" s="98">
        <v>0.33333333333333331</v>
      </c>
      <c r="I115" s="98"/>
      <c r="J115" s="98"/>
      <c r="K115" s="98"/>
      <c r="L115" s="98"/>
      <c r="M115" s="98"/>
      <c r="N115" s="98"/>
      <c r="O115" s="96" t="s">
        <v>280</v>
      </c>
      <c r="P115" s="96"/>
      <c r="Q115" s="15">
        <v>30</v>
      </c>
      <c r="R115" s="15">
        <v>2</v>
      </c>
      <c r="S115" s="15"/>
      <c r="T115" s="100"/>
      <c r="U115" s="15"/>
      <c r="V115" s="15"/>
      <c r="W115" s="101"/>
      <c r="X115" s="96"/>
      <c r="Y115" s="69">
        <f ca="1">Table29[[#This Row],[5/9/2025]]+2-TODAY()</f>
        <v>106</v>
      </c>
      <c r="Z115" s="15">
        <f>IF(ISBLANK(Table29[[#This Row],[Roster Received By]]),1,0)</f>
        <v>1</v>
      </c>
      <c r="AA115" s="15">
        <f ca="1">IF(Table29[[#This Row],[5/5/2025]]&gt;TODAY(),1,)</f>
        <v>1</v>
      </c>
    </row>
    <row r="116" spans="1:27" x14ac:dyDescent="0.25">
      <c r="A116" s="61" t="s">
        <v>482</v>
      </c>
      <c r="B116" s="96" t="s">
        <v>33</v>
      </c>
      <c r="C116" s="97" t="s">
        <v>129</v>
      </c>
      <c r="D116" s="97" t="s">
        <v>130</v>
      </c>
      <c r="E116" s="96" t="s">
        <v>173</v>
      </c>
      <c r="F116" s="99">
        <v>45693</v>
      </c>
      <c r="G116" s="99">
        <v>45693</v>
      </c>
      <c r="H116" s="98">
        <v>0.33333333333333331</v>
      </c>
      <c r="I116" s="102"/>
      <c r="J116" s="99"/>
      <c r="K116" s="99"/>
      <c r="L116" s="99"/>
      <c r="M116" s="99"/>
      <c r="N116" s="99"/>
      <c r="O116" s="96" t="s">
        <v>280</v>
      </c>
      <c r="P116" s="96"/>
      <c r="Q116" s="15">
        <v>30</v>
      </c>
      <c r="R116" s="15">
        <v>1</v>
      </c>
      <c r="S116" s="15"/>
      <c r="T116" s="100"/>
      <c r="U116" s="15"/>
      <c r="V116" s="15"/>
      <c r="W116" s="15"/>
      <c r="X116" s="96"/>
      <c r="Y116" s="69">
        <f ca="1">Table29[[#This Row],[5/9/2025]]+2-TODAY()</f>
        <v>-82</v>
      </c>
      <c r="Z116" s="15">
        <f>IF(ISBLANK(Table29[[#This Row],[Roster Received By]]),1,0)</f>
        <v>1</v>
      </c>
      <c r="AA116" s="15">
        <f ca="1">IF(Table29[[#This Row],[5/5/2025]]&gt;TODAY(),1,)</f>
        <v>0</v>
      </c>
    </row>
    <row r="117" spans="1:27" x14ac:dyDescent="0.25">
      <c r="A117" s="61"/>
      <c r="B117" s="96" t="s">
        <v>33</v>
      </c>
      <c r="C117" s="97" t="s">
        <v>129</v>
      </c>
      <c r="D117" s="97" t="s">
        <v>130</v>
      </c>
      <c r="E117" s="96" t="s">
        <v>160</v>
      </c>
      <c r="F117" s="99">
        <v>45728</v>
      </c>
      <c r="G117" s="99">
        <v>45728</v>
      </c>
      <c r="H117" s="98">
        <v>0.33333333333333331</v>
      </c>
      <c r="I117" s="98"/>
      <c r="J117" s="98"/>
      <c r="K117" s="98"/>
      <c r="L117" s="98"/>
      <c r="M117" s="98"/>
      <c r="N117" s="98"/>
      <c r="O117" s="96" t="s">
        <v>280</v>
      </c>
      <c r="P117" s="96"/>
      <c r="Q117" s="15">
        <v>30</v>
      </c>
      <c r="R117" s="15">
        <v>1</v>
      </c>
      <c r="S117" s="15"/>
      <c r="T117" s="100"/>
      <c r="U117" s="15"/>
      <c r="V117" s="15"/>
      <c r="W117" s="15"/>
      <c r="X117" s="96"/>
      <c r="Y117" s="69">
        <f ca="1">Table29[[#This Row],[5/9/2025]]+2-TODAY()</f>
        <v>-47</v>
      </c>
      <c r="Z117" s="15">
        <f>IF(ISBLANK(Table29[[#This Row],[Roster Received By]]),1,0)</f>
        <v>1</v>
      </c>
      <c r="AA117" s="15">
        <f ca="1">IF(Table29[[#This Row],[5/5/2025]]&gt;TODAY(),1,)</f>
        <v>0</v>
      </c>
    </row>
    <row r="118" spans="1:27" x14ac:dyDescent="0.25">
      <c r="A118" s="61"/>
      <c r="B118" s="96" t="s">
        <v>33</v>
      </c>
      <c r="C118" s="97" t="s">
        <v>129</v>
      </c>
      <c r="D118" s="97" t="s">
        <v>130</v>
      </c>
      <c r="E118" s="96" t="s">
        <v>213</v>
      </c>
      <c r="F118" s="99">
        <v>45756</v>
      </c>
      <c r="G118" s="99">
        <v>45756</v>
      </c>
      <c r="H118" s="98">
        <v>0.33333333333333331</v>
      </c>
      <c r="I118" s="98"/>
      <c r="J118" s="98"/>
      <c r="K118" s="98"/>
      <c r="L118" s="98"/>
      <c r="M118" s="98"/>
      <c r="N118" s="98"/>
      <c r="O118" s="96" t="s">
        <v>280</v>
      </c>
      <c r="P118" s="96"/>
      <c r="Q118" s="15">
        <v>30</v>
      </c>
      <c r="R118" s="15">
        <v>1</v>
      </c>
      <c r="S118" s="15"/>
      <c r="T118" s="100"/>
      <c r="U118" s="15"/>
      <c r="V118" s="15"/>
      <c r="W118" s="15"/>
      <c r="X118" s="96"/>
      <c r="Y118" s="69">
        <f ca="1">Table29[[#This Row],[5/9/2025]]+2-TODAY()</f>
        <v>-19</v>
      </c>
      <c r="Z118" s="15">
        <f>IF(ISBLANK(Table29[[#This Row],[Roster Received By]]),1,0)</f>
        <v>1</v>
      </c>
      <c r="AA118" s="15">
        <f ca="1">IF(Table29[[#This Row],[5/5/2025]]&gt;TODAY(),1,)</f>
        <v>0</v>
      </c>
    </row>
    <row r="119" spans="1:27" x14ac:dyDescent="0.25">
      <c r="A119" s="61"/>
      <c r="B119" s="96" t="s">
        <v>33</v>
      </c>
      <c r="C119" s="97" t="s">
        <v>129</v>
      </c>
      <c r="D119" s="97" t="s">
        <v>130</v>
      </c>
      <c r="E119" s="96" t="s">
        <v>162</v>
      </c>
      <c r="F119" s="99">
        <v>45763</v>
      </c>
      <c r="G119" s="99">
        <v>45763</v>
      </c>
      <c r="H119" s="98">
        <v>0.33333333333333331</v>
      </c>
      <c r="I119" s="102"/>
      <c r="J119" s="99"/>
      <c r="K119" s="99"/>
      <c r="L119" s="99"/>
      <c r="M119" s="99"/>
      <c r="N119" s="99"/>
      <c r="O119" s="96" t="s">
        <v>280</v>
      </c>
      <c r="P119" s="96"/>
      <c r="Q119" s="15">
        <v>30</v>
      </c>
      <c r="R119" s="15">
        <v>1</v>
      </c>
      <c r="S119" s="15"/>
      <c r="T119" s="100"/>
      <c r="U119" s="15"/>
      <c r="V119" s="15"/>
      <c r="W119" s="15"/>
      <c r="X119" s="96"/>
      <c r="Y119" s="69">
        <f ca="1">Table29[[#This Row],[5/9/2025]]+2-TODAY()</f>
        <v>-12</v>
      </c>
      <c r="Z119" s="15">
        <f>IF(ISBLANK(Table29[[#This Row],[Roster Received By]]),1,0)</f>
        <v>1</v>
      </c>
      <c r="AA119" s="15">
        <f ca="1">IF(Table29[[#This Row],[5/5/2025]]&gt;TODAY(),1,)</f>
        <v>0</v>
      </c>
    </row>
    <row r="120" spans="1:27" x14ac:dyDescent="0.25">
      <c r="A120" s="96"/>
      <c r="B120" s="96" t="s">
        <v>33</v>
      </c>
      <c r="C120" s="97" t="s">
        <v>129</v>
      </c>
      <c r="D120" s="97" t="s">
        <v>130</v>
      </c>
      <c r="E120" s="96" t="s">
        <v>202</v>
      </c>
      <c r="F120" s="99">
        <v>45784</v>
      </c>
      <c r="G120" s="99">
        <v>45784</v>
      </c>
      <c r="H120" s="98">
        <v>0.33333333333333331</v>
      </c>
      <c r="I120" s="98"/>
      <c r="J120" s="98"/>
      <c r="K120" s="98"/>
      <c r="L120" s="98"/>
      <c r="M120" s="98"/>
      <c r="N120" s="98"/>
      <c r="O120" s="96" t="s">
        <v>280</v>
      </c>
      <c r="P120" s="96"/>
      <c r="Q120" s="15">
        <v>30</v>
      </c>
      <c r="R120" s="15">
        <v>1</v>
      </c>
      <c r="S120" s="15"/>
      <c r="T120" s="100"/>
      <c r="U120" s="15"/>
      <c r="V120" s="15"/>
      <c r="W120" s="15"/>
      <c r="X120" s="96"/>
      <c r="Y120" s="69">
        <f ca="1">Table29[[#This Row],[5/9/2025]]+2-TODAY()</f>
        <v>9</v>
      </c>
      <c r="Z120" s="15">
        <f>IF(ISBLANK(Table29[[#This Row],[Roster Received By]]),1,0)</f>
        <v>1</v>
      </c>
      <c r="AA120" s="15">
        <f ca="1">IF(Table29[[#This Row],[5/5/2025]]&gt;TODAY(),1,)</f>
        <v>1</v>
      </c>
    </row>
    <row r="121" spans="1:27" x14ac:dyDescent="0.25">
      <c r="A121" s="61"/>
      <c r="B121" s="96" t="s">
        <v>33</v>
      </c>
      <c r="C121" s="97" t="s">
        <v>129</v>
      </c>
      <c r="D121" s="97" t="s">
        <v>130</v>
      </c>
      <c r="E121" s="96" t="s">
        <v>182</v>
      </c>
      <c r="F121" s="170">
        <v>45811</v>
      </c>
      <c r="G121" s="170">
        <v>45811</v>
      </c>
      <c r="H121" s="98">
        <v>0.33333333333333331</v>
      </c>
      <c r="I121" s="102"/>
      <c r="J121" s="99"/>
      <c r="K121" s="99"/>
      <c r="L121" s="99"/>
      <c r="M121" s="99"/>
      <c r="N121" s="99"/>
      <c r="O121" s="96" t="s">
        <v>280</v>
      </c>
      <c r="P121" s="96"/>
      <c r="Q121" s="15">
        <v>30</v>
      </c>
      <c r="R121" s="15">
        <v>1</v>
      </c>
      <c r="S121" s="15"/>
      <c r="T121" s="100"/>
      <c r="U121" s="15"/>
      <c r="V121" s="15"/>
      <c r="W121" s="15"/>
      <c r="X121" s="96"/>
      <c r="Y121" s="69">
        <f ca="1">Table29[[#This Row],[5/9/2025]]+2-TODAY()</f>
        <v>36</v>
      </c>
      <c r="Z121" s="15">
        <f>IF(ISBLANK(Table29[[#This Row],[Roster Received By]]),1,0)</f>
        <v>1</v>
      </c>
      <c r="AA121" s="15">
        <f ca="1">IF(Table29[[#This Row],[5/5/2025]]&gt;TODAY(),1,)</f>
        <v>1</v>
      </c>
    </row>
    <row r="122" spans="1:27" x14ac:dyDescent="0.25">
      <c r="A122" s="61"/>
      <c r="B122" s="96" t="s">
        <v>33</v>
      </c>
      <c r="C122" s="97" t="s">
        <v>129</v>
      </c>
      <c r="D122" s="97" t="s">
        <v>130</v>
      </c>
      <c r="E122" s="138" t="s">
        <v>204</v>
      </c>
      <c r="F122" s="176">
        <v>45813</v>
      </c>
      <c r="G122" s="176">
        <v>45813</v>
      </c>
      <c r="H122" s="98">
        <v>0.33333333333333331</v>
      </c>
      <c r="I122" s="102"/>
      <c r="J122" s="99"/>
      <c r="K122" s="99"/>
      <c r="L122" s="99"/>
      <c r="M122" s="99"/>
      <c r="N122" s="99"/>
      <c r="O122" s="96" t="s">
        <v>280</v>
      </c>
      <c r="P122" s="96"/>
      <c r="Q122" s="15">
        <v>30</v>
      </c>
      <c r="R122" s="15">
        <v>1</v>
      </c>
      <c r="S122" s="15"/>
      <c r="T122" s="100"/>
      <c r="U122" s="15"/>
      <c r="V122" s="15"/>
      <c r="W122" s="97"/>
      <c r="X122" s="96"/>
      <c r="Y122" s="69">
        <f ca="1">Table29[[#This Row],[5/9/2025]]+2-TODAY()</f>
        <v>38</v>
      </c>
      <c r="Z122" s="15">
        <f>IF(ISBLANK(Table29[[#This Row],[Roster Received By]]),1,0)</f>
        <v>1</v>
      </c>
      <c r="AA122" s="15">
        <f ca="1">IF(Table29[[#This Row],[5/5/2025]]&gt;TODAY(),1,)</f>
        <v>1</v>
      </c>
    </row>
    <row r="123" spans="1:27" x14ac:dyDescent="0.25">
      <c r="A123" s="61"/>
      <c r="B123" s="96" t="s">
        <v>33</v>
      </c>
      <c r="C123" s="97" t="s">
        <v>129</v>
      </c>
      <c r="D123" s="97" t="s">
        <v>130</v>
      </c>
      <c r="E123" s="96" t="s">
        <v>198</v>
      </c>
      <c r="F123" s="170">
        <v>45817</v>
      </c>
      <c r="G123" s="170">
        <v>45817</v>
      </c>
      <c r="H123" s="98">
        <v>0.33333333333333331</v>
      </c>
      <c r="I123" s="98"/>
      <c r="J123" s="98"/>
      <c r="K123" s="98"/>
      <c r="L123" s="98"/>
      <c r="M123" s="98"/>
      <c r="N123" s="98"/>
      <c r="O123" s="96" t="s">
        <v>280</v>
      </c>
      <c r="P123" s="96"/>
      <c r="Q123" s="15">
        <v>30</v>
      </c>
      <c r="R123" s="15">
        <v>1</v>
      </c>
      <c r="S123" s="15"/>
      <c r="T123" s="100"/>
      <c r="U123" s="15"/>
      <c r="V123" s="15"/>
      <c r="W123" s="15"/>
      <c r="X123" s="96"/>
      <c r="Y123" s="69">
        <f ca="1">Table29[[#This Row],[5/9/2025]]+2-TODAY()</f>
        <v>42</v>
      </c>
      <c r="Z123" s="15">
        <f>IF(ISBLANK(Table29[[#This Row],[Roster Received By]]),1,0)</f>
        <v>1</v>
      </c>
      <c r="AA123" s="15">
        <f ca="1">IF(Table29[[#This Row],[5/5/2025]]&gt;TODAY(),1,)</f>
        <v>1</v>
      </c>
    </row>
    <row r="124" spans="1:27" x14ac:dyDescent="0.25">
      <c r="A124" s="61"/>
      <c r="B124" s="96" t="s">
        <v>33</v>
      </c>
      <c r="C124" s="97" t="s">
        <v>129</v>
      </c>
      <c r="D124" s="97" t="s">
        <v>130</v>
      </c>
      <c r="E124" s="96" t="s">
        <v>164</v>
      </c>
      <c r="F124" s="99">
        <v>45838</v>
      </c>
      <c r="G124" s="99">
        <v>45838</v>
      </c>
      <c r="H124" s="98">
        <v>0.33333333333333331</v>
      </c>
      <c r="I124" s="102"/>
      <c r="J124" s="99"/>
      <c r="K124" s="99"/>
      <c r="L124" s="99"/>
      <c r="M124" s="99"/>
      <c r="N124" s="99"/>
      <c r="O124" s="96" t="s">
        <v>280</v>
      </c>
      <c r="P124" s="96"/>
      <c r="Q124" s="15">
        <v>30</v>
      </c>
      <c r="R124" s="15">
        <v>1</v>
      </c>
      <c r="S124" s="15"/>
      <c r="T124" s="100"/>
      <c r="U124" s="15"/>
      <c r="V124" s="15"/>
      <c r="W124" s="15"/>
      <c r="X124" s="96"/>
      <c r="Y124" s="69">
        <f ca="1">Table29[[#This Row],[5/9/2025]]+2-TODAY()</f>
        <v>63</v>
      </c>
      <c r="Z124" s="15">
        <f>IF(ISBLANK(Table29[[#This Row],[Roster Received By]]),1,0)</f>
        <v>1</v>
      </c>
      <c r="AA124" s="15">
        <f ca="1">IF(Table29[[#This Row],[5/5/2025]]&gt;TODAY(),1,)</f>
        <v>1</v>
      </c>
    </row>
    <row r="125" spans="1:27" x14ac:dyDescent="0.25">
      <c r="A125" s="61"/>
      <c r="B125" s="96" t="s">
        <v>33</v>
      </c>
      <c r="C125" s="97" t="s">
        <v>129</v>
      </c>
      <c r="D125" s="97" t="s">
        <v>130</v>
      </c>
      <c r="E125" s="96" t="s">
        <v>159</v>
      </c>
      <c r="F125" s="170">
        <v>45845</v>
      </c>
      <c r="G125" s="170">
        <v>45845</v>
      </c>
      <c r="H125" s="98">
        <v>0.33333333333333331</v>
      </c>
      <c r="I125" s="102"/>
      <c r="J125" s="102"/>
      <c r="K125" s="102"/>
      <c r="L125" s="102"/>
      <c r="M125" s="102"/>
      <c r="N125" s="99"/>
      <c r="O125" s="96" t="s">
        <v>280</v>
      </c>
      <c r="P125" s="96"/>
      <c r="Q125" s="15">
        <v>30</v>
      </c>
      <c r="R125" s="15">
        <v>1</v>
      </c>
      <c r="S125" s="15"/>
      <c r="T125" s="100"/>
      <c r="U125" s="15"/>
      <c r="V125" s="15"/>
      <c r="W125" s="15"/>
      <c r="X125" s="96"/>
      <c r="Y125" s="69">
        <f ca="1">Table29[[#This Row],[5/9/2025]]+2-TODAY()</f>
        <v>70</v>
      </c>
      <c r="Z125" s="15">
        <f>IF(ISBLANK(Table29[[#This Row],[Roster Received By]]),1,0)</f>
        <v>1</v>
      </c>
      <c r="AA125" s="15">
        <f ca="1">IF(Table29[[#This Row],[5/5/2025]]&gt;TODAY(),1,)</f>
        <v>1</v>
      </c>
    </row>
    <row r="126" spans="1:27" x14ac:dyDescent="0.25">
      <c r="A126" s="61"/>
      <c r="B126" s="96" t="s">
        <v>33</v>
      </c>
      <c r="C126" s="97" t="s">
        <v>129</v>
      </c>
      <c r="D126" s="97" t="s">
        <v>130</v>
      </c>
      <c r="E126" s="64" t="s">
        <v>169</v>
      </c>
      <c r="F126" s="66">
        <v>45847</v>
      </c>
      <c r="G126" s="66">
        <v>45847</v>
      </c>
      <c r="H126" s="98">
        <v>0.33333333333333331</v>
      </c>
      <c r="I126" s="98"/>
      <c r="J126" s="99"/>
      <c r="K126" s="99"/>
      <c r="L126" s="99"/>
      <c r="M126" s="99"/>
      <c r="N126" s="99"/>
      <c r="O126" s="96" t="s">
        <v>280</v>
      </c>
      <c r="P126" s="96"/>
      <c r="Q126" s="15">
        <v>30</v>
      </c>
      <c r="R126" s="15">
        <v>1</v>
      </c>
      <c r="S126" s="15"/>
      <c r="T126" s="100"/>
      <c r="U126" s="15"/>
      <c r="V126" s="15"/>
      <c r="W126" s="15"/>
      <c r="X126" s="96"/>
      <c r="Y126" s="69">
        <f ca="1">Table29[[#This Row],[5/9/2025]]+2-TODAY()</f>
        <v>72</v>
      </c>
      <c r="Z126" s="15">
        <f>IF(ISBLANK(Table29[[#This Row],[Roster Received By]]),1,0)</f>
        <v>1</v>
      </c>
      <c r="AA126" s="15">
        <f ca="1">IF(Table29[[#This Row],[5/5/2025]]&gt;TODAY(),1,)</f>
        <v>1</v>
      </c>
    </row>
    <row r="127" spans="1:27" x14ac:dyDescent="0.25">
      <c r="A127" s="61"/>
      <c r="B127" s="96" t="s">
        <v>33</v>
      </c>
      <c r="C127" s="97" t="s">
        <v>129</v>
      </c>
      <c r="D127" s="97" t="s">
        <v>130</v>
      </c>
      <c r="E127" s="96" t="s">
        <v>172</v>
      </c>
      <c r="F127" s="176">
        <v>45873</v>
      </c>
      <c r="G127" s="176">
        <v>45873</v>
      </c>
      <c r="H127" s="98">
        <v>0.33333333333333331</v>
      </c>
      <c r="I127" s="98"/>
      <c r="J127" s="98"/>
      <c r="K127" s="98"/>
      <c r="L127" s="98"/>
      <c r="M127" s="98"/>
      <c r="N127" s="98"/>
      <c r="O127" s="96" t="s">
        <v>280</v>
      </c>
      <c r="P127" s="96"/>
      <c r="Q127" s="15">
        <v>30</v>
      </c>
      <c r="R127" s="15">
        <v>1</v>
      </c>
      <c r="S127" s="15"/>
      <c r="T127" s="100"/>
      <c r="U127" s="15"/>
      <c r="V127" s="15"/>
      <c r="W127" s="15"/>
      <c r="X127" s="96"/>
      <c r="Y127" s="69">
        <f ca="1">Table29[[#This Row],[5/9/2025]]+2-TODAY()</f>
        <v>98</v>
      </c>
      <c r="Z127" s="15">
        <f>IF(ISBLANK(Table29[[#This Row],[Roster Received By]]),1,0)</f>
        <v>1</v>
      </c>
      <c r="AA127" s="15">
        <f ca="1">IF(Table29[[#This Row],[5/5/2025]]&gt;TODAY(),1,)</f>
        <v>1</v>
      </c>
    </row>
    <row r="128" spans="1:27" x14ac:dyDescent="0.25">
      <c r="A128" s="61"/>
      <c r="B128" s="96" t="s">
        <v>33</v>
      </c>
      <c r="C128" s="97" t="s">
        <v>129</v>
      </c>
      <c r="D128" s="97" t="s">
        <v>130</v>
      </c>
      <c r="E128" s="96" t="s">
        <v>175</v>
      </c>
      <c r="F128" s="99">
        <v>45875</v>
      </c>
      <c r="G128" s="99">
        <v>45875</v>
      </c>
      <c r="H128" s="98">
        <v>0.33333333333333331</v>
      </c>
      <c r="I128" s="102"/>
      <c r="J128" s="102"/>
      <c r="K128" s="102"/>
      <c r="L128" s="102"/>
      <c r="M128" s="102"/>
      <c r="N128" s="99"/>
      <c r="O128" s="96" t="s">
        <v>280</v>
      </c>
      <c r="P128" s="96"/>
      <c r="Q128" s="15">
        <v>30</v>
      </c>
      <c r="R128" s="15">
        <v>1</v>
      </c>
      <c r="S128" s="15"/>
      <c r="T128" s="100"/>
      <c r="U128" s="15"/>
      <c r="V128" s="15"/>
      <c r="W128" s="15"/>
      <c r="X128" s="96"/>
      <c r="Y128" s="69">
        <f ca="1">Table29[[#This Row],[5/9/2025]]+2-TODAY()</f>
        <v>100</v>
      </c>
      <c r="Z128" s="15">
        <f>IF(ISBLANK(Table29[[#This Row],[Roster Received By]]),1,0)</f>
        <v>1</v>
      </c>
      <c r="AA128" s="15">
        <f ca="1">IF(Table29[[#This Row],[5/5/2025]]&gt;TODAY(),1,)</f>
        <v>1</v>
      </c>
    </row>
    <row r="129" spans="1:27" x14ac:dyDescent="0.25">
      <c r="A129" s="61"/>
      <c r="B129" s="96" t="s">
        <v>33</v>
      </c>
      <c r="C129" s="97" t="s">
        <v>129</v>
      </c>
      <c r="D129" s="97" t="s">
        <v>130</v>
      </c>
      <c r="E129" s="96" t="s">
        <v>209</v>
      </c>
      <c r="F129" s="99">
        <v>45883</v>
      </c>
      <c r="G129" s="99">
        <v>45883</v>
      </c>
      <c r="H129" s="98">
        <v>0.33333333333333331</v>
      </c>
      <c r="I129" s="102"/>
      <c r="J129" s="99"/>
      <c r="K129" s="99"/>
      <c r="L129" s="99"/>
      <c r="M129" s="99"/>
      <c r="N129" s="99"/>
      <c r="O129" s="96" t="s">
        <v>280</v>
      </c>
      <c r="P129" s="96"/>
      <c r="Q129" s="15">
        <v>30</v>
      </c>
      <c r="R129" s="15">
        <v>1</v>
      </c>
      <c r="S129" s="15"/>
      <c r="T129" s="100"/>
      <c r="U129" s="15"/>
      <c r="V129" s="15"/>
      <c r="W129" s="15"/>
      <c r="X129" s="96"/>
      <c r="Y129" s="69">
        <f ca="1">Table29[[#This Row],[5/9/2025]]+2-TODAY()</f>
        <v>108</v>
      </c>
      <c r="Z129" s="15">
        <f>IF(ISBLANK(Table29[[#This Row],[Roster Received By]]),1,0)</f>
        <v>1</v>
      </c>
      <c r="AA129" s="15">
        <f ca="1">IF(Table29[[#This Row],[5/5/2025]]&gt;TODAY(),1,)</f>
        <v>1</v>
      </c>
    </row>
    <row r="130" spans="1:27" x14ac:dyDescent="0.25">
      <c r="A130" s="61"/>
      <c r="B130" s="96" t="s">
        <v>33</v>
      </c>
      <c r="C130" s="97" t="s">
        <v>129</v>
      </c>
      <c r="D130" s="97" t="s">
        <v>130</v>
      </c>
      <c r="E130" s="96" t="s">
        <v>195</v>
      </c>
      <c r="F130" s="99">
        <v>45894</v>
      </c>
      <c r="G130" s="99">
        <v>45894</v>
      </c>
      <c r="H130" s="98">
        <v>0.33333333333333331</v>
      </c>
      <c r="I130" s="98"/>
      <c r="J130" s="98"/>
      <c r="K130" s="98"/>
      <c r="L130" s="98"/>
      <c r="M130" s="98"/>
      <c r="N130" s="98"/>
      <c r="O130" s="96" t="s">
        <v>280</v>
      </c>
      <c r="P130" s="96"/>
      <c r="Q130" s="15">
        <v>30</v>
      </c>
      <c r="R130" s="15">
        <v>1</v>
      </c>
      <c r="S130" s="15"/>
      <c r="T130" s="100"/>
      <c r="U130" s="15"/>
      <c r="V130" s="15"/>
      <c r="W130" s="15"/>
      <c r="X130" s="96"/>
      <c r="Y130" s="69">
        <f ca="1">Table29[[#This Row],[5/9/2025]]+2-TODAY()</f>
        <v>119</v>
      </c>
      <c r="Z130" s="15">
        <f>IF(ISBLANK(Table29[[#This Row],[Roster Received By]]),1,0)</f>
        <v>1</v>
      </c>
      <c r="AA130" s="15">
        <f ca="1">IF(Table29[[#This Row],[5/5/2025]]&gt;TODAY(),1,)</f>
        <v>1</v>
      </c>
    </row>
    <row r="131" spans="1:27" x14ac:dyDescent="0.25">
      <c r="A131" s="61"/>
      <c r="B131" s="96" t="s">
        <v>34</v>
      </c>
      <c r="C131" s="97" t="s">
        <v>131</v>
      </c>
      <c r="D131" s="97" t="s">
        <v>132</v>
      </c>
      <c r="E131" s="96" t="s">
        <v>205</v>
      </c>
      <c r="F131" s="99">
        <v>45680</v>
      </c>
      <c r="G131" s="99">
        <v>45680</v>
      </c>
      <c r="H131" s="98">
        <v>0.33333333333333331</v>
      </c>
      <c r="I131" s="98"/>
      <c r="J131" s="98"/>
      <c r="K131" s="98"/>
      <c r="L131" s="98"/>
      <c r="M131" s="98"/>
      <c r="N131" s="98"/>
      <c r="O131" s="96" t="s">
        <v>280</v>
      </c>
      <c r="P131" s="96"/>
      <c r="Q131" s="15">
        <v>30</v>
      </c>
      <c r="R131" s="15">
        <v>1</v>
      </c>
      <c r="S131" s="15"/>
      <c r="T131" s="100"/>
      <c r="U131" s="15"/>
      <c r="V131" s="15"/>
      <c r="W131" s="15"/>
      <c r="X131" s="96"/>
      <c r="Y131" s="69">
        <f ca="1">Table29[[#This Row],[5/9/2025]]+2-TODAY()</f>
        <v>-95</v>
      </c>
      <c r="Z131" s="15">
        <f>IF(ISBLANK(Table29[[#This Row],[Roster Received By]]),1,0)</f>
        <v>1</v>
      </c>
      <c r="AA131" s="15">
        <f ca="1">IF(Table29[[#This Row],[5/5/2025]]&gt;TODAY(),1,)</f>
        <v>0</v>
      </c>
    </row>
    <row r="132" spans="1:27" x14ac:dyDescent="0.25">
      <c r="A132" s="61" t="s">
        <v>482</v>
      </c>
      <c r="B132" s="96" t="s">
        <v>34</v>
      </c>
      <c r="C132" s="97" t="s">
        <v>131</v>
      </c>
      <c r="D132" s="97" t="s">
        <v>132</v>
      </c>
      <c r="E132" s="96" t="s">
        <v>173</v>
      </c>
      <c r="F132" s="99">
        <v>45694</v>
      </c>
      <c r="G132" s="99">
        <v>45694</v>
      </c>
      <c r="H132" s="98">
        <v>0.33333333333333331</v>
      </c>
      <c r="I132" s="98"/>
      <c r="J132" s="98"/>
      <c r="K132" s="98"/>
      <c r="L132" s="98"/>
      <c r="M132" s="98"/>
      <c r="N132" s="98"/>
      <c r="O132" s="96" t="s">
        <v>280</v>
      </c>
      <c r="P132" s="96"/>
      <c r="Q132" s="15">
        <v>30</v>
      </c>
      <c r="R132" s="15">
        <v>1</v>
      </c>
      <c r="S132" s="15"/>
      <c r="T132" s="100"/>
      <c r="U132" s="15"/>
      <c r="V132" s="15"/>
      <c r="W132" s="15"/>
      <c r="X132" s="96"/>
      <c r="Y132" s="69">
        <f ca="1">Table29[[#This Row],[5/9/2025]]+2-TODAY()</f>
        <v>-81</v>
      </c>
      <c r="Z132" s="15">
        <f>IF(ISBLANK(Table29[[#This Row],[Roster Received By]]),1,0)</f>
        <v>1</v>
      </c>
      <c r="AA132" s="15">
        <f ca="1">IF(Table29[[#This Row],[5/5/2025]]&gt;TODAY(),1,)</f>
        <v>0</v>
      </c>
    </row>
    <row r="133" spans="1:27" x14ac:dyDescent="0.25">
      <c r="A133" t="s">
        <v>488</v>
      </c>
      <c r="B133" s="96" t="s">
        <v>34</v>
      </c>
      <c r="C133" s="97" t="s">
        <v>131</v>
      </c>
      <c r="D133" s="97" t="s">
        <v>132</v>
      </c>
      <c r="E133" s="109" t="s">
        <v>255</v>
      </c>
      <c r="F133" s="99">
        <v>45698</v>
      </c>
      <c r="G133" s="99">
        <v>45698</v>
      </c>
      <c r="H133" s="98">
        <v>0.33333333333333331</v>
      </c>
      <c r="I133" s="98"/>
      <c r="J133" s="98"/>
      <c r="K133" s="98"/>
      <c r="L133" s="98"/>
      <c r="M133" s="98"/>
      <c r="N133" s="98"/>
      <c r="O133" s="96" t="s">
        <v>280</v>
      </c>
      <c r="P133" s="96"/>
      <c r="Q133" s="15">
        <v>30</v>
      </c>
      <c r="R133" s="15">
        <v>1</v>
      </c>
      <c r="S133" s="15"/>
      <c r="T133" s="100"/>
      <c r="U133" s="15"/>
      <c r="V133" s="15"/>
      <c r="W133" s="15"/>
      <c r="X133" s="96"/>
      <c r="Y133" s="69">
        <f ca="1">Table29[[#This Row],[5/9/2025]]+2-TODAY()</f>
        <v>-77</v>
      </c>
      <c r="Z133" s="15">
        <f>IF(ISBLANK(Table29[[#This Row],[Roster Received By]]),1,0)</f>
        <v>1</v>
      </c>
      <c r="AA133" s="15">
        <f ca="1">IF(Table29[[#This Row],[5/5/2025]]&gt;TODAY(),1,)</f>
        <v>0</v>
      </c>
    </row>
    <row r="134" spans="1:27" x14ac:dyDescent="0.25">
      <c r="A134" s="61"/>
      <c r="B134" s="96" t="s">
        <v>34</v>
      </c>
      <c r="C134" s="97" t="s">
        <v>131</v>
      </c>
      <c r="D134" s="97" t="s">
        <v>132</v>
      </c>
      <c r="E134" s="96" t="s">
        <v>160</v>
      </c>
      <c r="F134" s="99">
        <v>45729</v>
      </c>
      <c r="G134" s="99">
        <v>45729</v>
      </c>
      <c r="H134" s="98">
        <v>0.33333333333333331</v>
      </c>
      <c r="I134" s="102"/>
      <c r="J134" s="99"/>
      <c r="K134" s="99"/>
      <c r="L134" s="99"/>
      <c r="M134" s="99"/>
      <c r="N134" s="99"/>
      <c r="O134" s="96" t="s">
        <v>280</v>
      </c>
      <c r="P134" s="96"/>
      <c r="Q134" s="15">
        <v>30</v>
      </c>
      <c r="R134" s="15">
        <v>1</v>
      </c>
      <c r="S134" s="15"/>
      <c r="T134" s="100"/>
      <c r="U134" s="15"/>
      <c r="V134" s="15"/>
      <c r="W134" s="15"/>
      <c r="X134" s="96"/>
      <c r="Y134" s="69">
        <f ca="1">Table29[[#This Row],[5/9/2025]]+2-TODAY()</f>
        <v>-46</v>
      </c>
      <c r="Z134" s="15">
        <f>IF(ISBLANK(Table29[[#This Row],[Roster Received By]]),1,0)</f>
        <v>1</v>
      </c>
      <c r="AA134" s="15">
        <f ca="1">IF(Table29[[#This Row],[5/5/2025]]&gt;TODAY(),1,)</f>
        <v>0</v>
      </c>
    </row>
    <row r="135" spans="1:27" x14ac:dyDescent="0.25">
      <c r="A135" s="61"/>
      <c r="B135" s="96" t="s">
        <v>34</v>
      </c>
      <c r="C135" s="97" t="s">
        <v>131</v>
      </c>
      <c r="D135" s="97" t="s">
        <v>132</v>
      </c>
      <c r="E135" s="96" t="s">
        <v>220</v>
      </c>
      <c r="F135" s="99">
        <v>45735</v>
      </c>
      <c r="G135" s="99">
        <v>45735</v>
      </c>
      <c r="H135" s="98">
        <v>0.33333333333333331</v>
      </c>
      <c r="I135" s="102"/>
      <c r="J135" s="99"/>
      <c r="K135" s="99"/>
      <c r="L135" s="99"/>
      <c r="M135" s="99"/>
      <c r="N135" s="99"/>
      <c r="O135" s="96" t="s">
        <v>280</v>
      </c>
      <c r="P135" s="96"/>
      <c r="Q135" s="15">
        <v>30</v>
      </c>
      <c r="R135" s="15">
        <v>1</v>
      </c>
      <c r="S135" s="15"/>
      <c r="T135" s="100"/>
      <c r="U135" s="15"/>
      <c r="V135" s="15"/>
      <c r="W135" s="104"/>
      <c r="X135" s="96"/>
      <c r="Y135" s="69">
        <f ca="1">Table29[[#This Row],[5/9/2025]]+2-TODAY()</f>
        <v>-40</v>
      </c>
      <c r="Z135" s="15">
        <f>IF(ISBLANK(Table29[[#This Row],[Roster Received By]]),1,0)</f>
        <v>1</v>
      </c>
      <c r="AA135" s="15">
        <f ca="1">IF(Table29[[#This Row],[5/5/2025]]&gt;TODAY(),1,)</f>
        <v>0</v>
      </c>
    </row>
    <row r="136" spans="1:27" x14ac:dyDescent="0.25">
      <c r="A136" s="61"/>
      <c r="B136" s="96" t="s">
        <v>34</v>
      </c>
      <c r="C136" s="97" t="s">
        <v>131</v>
      </c>
      <c r="D136" s="97" t="s">
        <v>132</v>
      </c>
      <c r="E136" s="96" t="s">
        <v>213</v>
      </c>
      <c r="F136" s="99">
        <v>45757</v>
      </c>
      <c r="G136" s="99">
        <v>45757</v>
      </c>
      <c r="H136" s="98">
        <v>0.33333333333333331</v>
      </c>
      <c r="I136" s="98"/>
      <c r="J136" s="98"/>
      <c r="K136" s="98"/>
      <c r="L136" s="98"/>
      <c r="M136" s="98"/>
      <c r="N136" s="98"/>
      <c r="O136" s="96" t="s">
        <v>280</v>
      </c>
      <c r="P136" s="96"/>
      <c r="Q136" s="15">
        <v>30</v>
      </c>
      <c r="R136" s="15">
        <v>1</v>
      </c>
      <c r="S136" s="15"/>
      <c r="T136" s="100"/>
      <c r="U136" s="15"/>
      <c r="V136" s="15"/>
      <c r="W136" s="15"/>
      <c r="X136" s="96"/>
      <c r="Y136" s="69">
        <f ca="1">Table29[[#This Row],[5/9/2025]]+2-TODAY()</f>
        <v>-18</v>
      </c>
      <c r="Z136" s="15">
        <f>IF(ISBLANK(Table29[[#This Row],[Roster Received By]]),1,0)</f>
        <v>1</v>
      </c>
      <c r="AA136" s="15">
        <f ca="1">IF(Table29[[#This Row],[5/5/2025]]&gt;TODAY(),1,)</f>
        <v>0</v>
      </c>
    </row>
    <row r="137" spans="1:27" x14ac:dyDescent="0.25">
      <c r="A137" s="61"/>
      <c r="B137" s="96" t="s">
        <v>34</v>
      </c>
      <c r="C137" s="97" t="s">
        <v>131</v>
      </c>
      <c r="D137" s="97" t="s">
        <v>132</v>
      </c>
      <c r="E137" s="96" t="s">
        <v>162</v>
      </c>
      <c r="F137" s="99">
        <v>45764</v>
      </c>
      <c r="G137" s="99">
        <v>45764</v>
      </c>
      <c r="H137" s="98">
        <v>0.33333333333333331</v>
      </c>
      <c r="I137" s="98"/>
      <c r="J137" s="98"/>
      <c r="K137" s="98"/>
      <c r="L137" s="98"/>
      <c r="M137" s="98"/>
      <c r="N137" s="98"/>
      <c r="O137" s="96" t="s">
        <v>280</v>
      </c>
      <c r="P137" s="96"/>
      <c r="Q137" s="15">
        <v>30</v>
      </c>
      <c r="R137" s="15">
        <v>1</v>
      </c>
      <c r="S137" s="15"/>
      <c r="T137" s="100"/>
      <c r="U137" s="15"/>
      <c r="V137" s="15"/>
      <c r="W137" s="97"/>
      <c r="X137" s="96"/>
      <c r="Y137" s="69">
        <f ca="1">Table29[[#This Row],[5/9/2025]]+2-TODAY()</f>
        <v>-11</v>
      </c>
      <c r="Z137" s="15">
        <f>IF(ISBLANK(Table29[[#This Row],[Roster Received By]]),1,0)</f>
        <v>1</v>
      </c>
      <c r="AA137" s="15">
        <f ca="1">IF(Table29[[#This Row],[5/5/2025]]&gt;TODAY(),1,)</f>
        <v>0</v>
      </c>
    </row>
    <row r="138" spans="1:27" x14ac:dyDescent="0.25">
      <c r="A138" s="96"/>
      <c r="B138" s="96" t="s">
        <v>34</v>
      </c>
      <c r="C138" s="97" t="s">
        <v>131</v>
      </c>
      <c r="D138" s="97" t="s">
        <v>132</v>
      </c>
      <c r="E138" s="96" t="s">
        <v>202</v>
      </c>
      <c r="F138" s="99">
        <v>45785</v>
      </c>
      <c r="G138" s="99">
        <v>45785</v>
      </c>
      <c r="H138" s="98">
        <v>0.33333333333333331</v>
      </c>
      <c r="I138" s="102"/>
      <c r="J138" s="99"/>
      <c r="K138" s="99"/>
      <c r="L138" s="99"/>
      <c r="M138" s="99"/>
      <c r="N138" s="99"/>
      <c r="O138" s="96" t="s">
        <v>280</v>
      </c>
      <c r="P138" s="96"/>
      <c r="Q138" s="15">
        <v>30</v>
      </c>
      <c r="R138" s="15">
        <v>1</v>
      </c>
      <c r="S138" s="15"/>
      <c r="T138" s="100"/>
      <c r="U138" s="15"/>
      <c r="V138" s="15"/>
      <c r="W138" s="15"/>
      <c r="X138" s="96"/>
      <c r="Y138" s="69">
        <f ca="1">Table29[[#This Row],[5/9/2025]]+2-TODAY()</f>
        <v>10</v>
      </c>
      <c r="Z138" s="15">
        <f>IF(ISBLANK(Table29[[#This Row],[Roster Received By]]),1,0)</f>
        <v>1</v>
      </c>
      <c r="AA138" s="15">
        <f ca="1">IF(Table29[[#This Row],[5/5/2025]]&gt;TODAY(),1,)</f>
        <v>1</v>
      </c>
    </row>
    <row r="139" spans="1:27" x14ac:dyDescent="0.25">
      <c r="A139" s="61"/>
      <c r="B139" s="96" t="s">
        <v>35</v>
      </c>
      <c r="C139" s="97" t="s">
        <v>144</v>
      </c>
      <c r="D139" s="97" t="s">
        <v>145</v>
      </c>
      <c r="E139" s="96" t="s">
        <v>205</v>
      </c>
      <c r="F139" s="170">
        <v>45681</v>
      </c>
      <c r="G139" s="170">
        <v>45681</v>
      </c>
      <c r="H139" s="98">
        <v>0.33333333333333331</v>
      </c>
      <c r="I139" s="98"/>
      <c r="J139" s="98"/>
      <c r="K139" s="98"/>
      <c r="L139" s="98"/>
      <c r="M139" s="98"/>
      <c r="N139" s="98"/>
      <c r="O139" s="96" t="s">
        <v>280</v>
      </c>
      <c r="P139" s="96"/>
      <c r="Q139" s="15">
        <v>30</v>
      </c>
      <c r="R139" s="15">
        <v>1</v>
      </c>
      <c r="S139" s="15"/>
      <c r="T139" s="100"/>
      <c r="U139" s="15"/>
      <c r="V139" s="15"/>
      <c r="W139" s="15"/>
      <c r="X139" s="96"/>
      <c r="Y139" s="69">
        <f ca="1">Table29[[#This Row],[5/9/2025]]+2-TODAY()</f>
        <v>-94</v>
      </c>
      <c r="Z139" s="15">
        <f>IF(ISBLANK(Table29[[#This Row],[Roster Received By]]),1,0)</f>
        <v>1</v>
      </c>
      <c r="AA139" s="15">
        <f ca="1">IF(Table29[[#This Row],[5/5/2025]]&gt;TODAY(),1,)</f>
        <v>0</v>
      </c>
    </row>
    <row r="140" spans="1:27" x14ac:dyDescent="0.25">
      <c r="A140" s="61" t="s">
        <v>482</v>
      </c>
      <c r="B140" s="96" t="s">
        <v>35</v>
      </c>
      <c r="C140" s="97" t="s">
        <v>144</v>
      </c>
      <c r="D140" s="97" t="s">
        <v>145</v>
      </c>
      <c r="E140" s="96" t="s">
        <v>173</v>
      </c>
      <c r="F140" s="99">
        <v>45695</v>
      </c>
      <c r="G140" s="99">
        <v>45695</v>
      </c>
      <c r="H140" s="98">
        <v>0.33333333333333331</v>
      </c>
      <c r="I140" s="98"/>
      <c r="J140" s="98"/>
      <c r="K140" s="98"/>
      <c r="L140" s="98"/>
      <c r="M140" s="98"/>
      <c r="N140" s="98"/>
      <c r="O140" s="96" t="s">
        <v>280</v>
      </c>
      <c r="P140" s="96"/>
      <c r="Q140" s="15">
        <v>30</v>
      </c>
      <c r="R140" s="15">
        <v>1</v>
      </c>
      <c r="S140" s="15"/>
      <c r="T140" s="100"/>
      <c r="U140" s="15"/>
      <c r="V140" s="15"/>
      <c r="W140" s="15"/>
      <c r="X140" s="96"/>
      <c r="Y140" s="69">
        <f ca="1">Table29[[#This Row],[5/9/2025]]+2-TODAY()</f>
        <v>-80</v>
      </c>
      <c r="Z140" s="15">
        <f>IF(ISBLANK(Table29[[#This Row],[Roster Received By]]),1,0)</f>
        <v>1</v>
      </c>
      <c r="AA140" s="15">
        <f ca="1">IF(Table29[[#This Row],[5/5/2025]]&gt;TODAY(),1,)</f>
        <v>0</v>
      </c>
    </row>
    <row r="141" spans="1:27" x14ac:dyDescent="0.25">
      <c r="A141" s="61" t="s">
        <v>488</v>
      </c>
      <c r="B141" s="96" t="s">
        <v>35</v>
      </c>
      <c r="C141" s="97" t="s">
        <v>144</v>
      </c>
      <c r="D141" s="97" t="s">
        <v>145</v>
      </c>
      <c r="E141" s="109" t="s">
        <v>255</v>
      </c>
      <c r="F141" s="66">
        <v>45699</v>
      </c>
      <c r="G141" s="66">
        <v>45699</v>
      </c>
      <c r="H141" s="98">
        <v>0.33333333333333331</v>
      </c>
      <c r="I141" s="102"/>
      <c r="J141" s="99"/>
      <c r="K141" s="99"/>
      <c r="L141" s="99"/>
      <c r="M141" s="99"/>
      <c r="N141" s="99"/>
      <c r="O141" s="96" t="s">
        <v>280</v>
      </c>
      <c r="P141" s="96"/>
      <c r="Q141" s="15">
        <v>30</v>
      </c>
      <c r="R141" s="15">
        <v>1</v>
      </c>
      <c r="S141" s="15"/>
      <c r="T141" s="100"/>
      <c r="U141" s="15"/>
      <c r="V141" s="15"/>
      <c r="W141" s="97"/>
      <c r="X141" s="96"/>
      <c r="Y141" s="106">
        <f ca="1">Table29[[#This Row],[5/9/2025]]+2-TODAY()</f>
        <v>-76</v>
      </c>
      <c r="Z141" s="15">
        <f>IF(ISBLANK(Table29[[#This Row],[Roster Received By]]),1,0)</f>
        <v>1</v>
      </c>
      <c r="AA141" s="97">
        <f ca="1">IF(Table29[[#This Row],[5/5/2025]]&gt;TODAY(),1,)</f>
        <v>0</v>
      </c>
    </row>
    <row r="142" spans="1:27" x14ac:dyDescent="0.25">
      <c r="A142" s="61"/>
      <c r="B142" s="96" t="s">
        <v>35</v>
      </c>
      <c r="C142" s="97" t="s">
        <v>144</v>
      </c>
      <c r="D142" s="97" t="s">
        <v>145</v>
      </c>
      <c r="E142" s="96" t="s">
        <v>160</v>
      </c>
      <c r="F142" s="99">
        <v>45730</v>
      </c>
      <c r="G142" s="99">
        <v>45730</v>
      </c>
      <c r="H142" s="98">
        <v>0.33333333333333331</v>
      </c>
      <c r="I142" s="102"/>
      <c r="J142" s="99"/>
      <c r="K142" s="99"/>
      <c r="L142" s="99"/>
      <c r="M142" s="99"/>
      <c r="N142" s="99"/>
      <c r="O142" s="96" t="s">
        <v>280</v>
      </c>
      <c r="P142" s="96"/>
      <c r="Q142" s="15">
        <v>30</v>
      </c>
      <c r="R142" s="15">
        <v>1</v>
      </c>
      <c r="S142" s="15"/>
      <c r="T142" s="100"/>
      <c r="U142" s="15"/>
      <c r="V142" s="15"/>
      <c r="W142" s="15"/>
      <c r="X142" s="96"/>
      <c r="Y142" s="69">
        <f ca="1">Table29[[#This Row],[5/9/2025]]+2-TODAY()</f>
        <v>-45</v>
      </c>
      <c r="Z142" s="15">
        <f>IF(ISBLANK(Table29[[#This Row],[Roster Received By]]),1,0)</f>
        <v>1</v>
      </c>
      <c r="AA142" s="15">
        <f ca="1">IF(Table29[[#This Row],[5/5/2025]]&gt;TODAY(),1,)</f>
        <v>0</v>
      </c>
    </row>
    <row r="143" spans="1:27" x14ac:dyDescent="0.25">
      <c r="A143" s="61"/>
      <c r="B143" s="96" t="s">
        <v>35</v>
      </c>
      <c r="C143" s="97" t="s">
        <v>144</v>
      </c>
      <c r="D143" s="97" t="s">
        <v>145</v>
      </c>
      <c r="E143" s="96" t="s">
        <v>220</v>
      </c>
      <c r="F143" s="66">
        <v>45736</v>
      </c>
      <c r="G143" s="66">
        <v>45736</v>
      </c>
      <c r="H143" s="98">
        <v>0.33333333333333331</v>
      </c>
      <c r="I143" s="98"/>
      <c r="J143" s="98"/>
      <c r="K143" s="98"/>
      <c r="L143" s="98"/>
      <c r="M143" s="98"/>
      <c r="N143" s="98"/>
      <c r="O143" s="96" t="s">
        <v>280</v>
      </c>
      <c r="P143" s="96"/>
      <c r="Q143" s="15">
        <v>30</v>
      </c>
      <c r="R143" s="15">
        <v>1</v>
      </c>
      <c r="S143" s="15"/>
      <c r="T143" s="100"/>
      <c r="U143" s="15"/>
      <c r="V143" s="15"/>
      <c r="W143" s="15"/>
      <c r="X143" s="96"/>
      <c r="Y143" s="69">
        <f ca="1">Table29[[#This Row],[5/9/2025]]+2-TODAY()</f>
        <v>-39</v>
      </c>
      <c r="Z143" s="15">
        <f>IF(ISBLANK(Table29[[#This Row],[Roster Received By]]),1,0)</f>
        <v>1</v>
      </c>
      <c r="AA143" s="15">
        <f ca="1">IF(Table29[[#This Row],[5/5/2025]]&gt;TODAY(),1,)</f>
        <v>0</v>
      </c>
    </row>
    <row r="144" spans="1:27" x14ac:dyDescent="0.25">
      <c r="A144" s="61"/>
      <c r="B144" s="96" t="s">
        <v>35</v>
      </c>
      <c r="C144" s="97" t="s">
        <v>144</v>
      </c>
      <c r="D144" s="97" t="s">
        <v>145</v>
      </c>
      <c r="E144" s="96" t="s">
        <v>213</v>
      </c>
      <c r="F144" s="170">
        <v>45758</v>
      </c>
      <c r="G144" s="99">
        <v>45758</v>
      </c>
      <c r="H144" s="98">
        <v>0.33333333333333331</v>
      </c>
      <c r="I144" s="98"/>
      <c r="J144" s="98"/>
      <c r="K144" s="98"/>
      <c r="L144" s="98"/>
      <c r="M144" s="98"/>
      <c r="N144" s="98"/>
      <c r="O144" s="96" t="s">
        <v>280</v>
      </c>
      <c r="P144" s="96"/>
      <c r="Q144" s="15">
        <v>30</v>
      </c>
      <c r="R144" s="15">
        <v>1</v>
      </c>
      <c r="S144" s="15"/>
      <c r="T144" s="100"/>
      <c r="U144" s="15"/>
      <c r="V144" s="15"/>
      <c r="W144" s="15"/>
      <c r="X144" s="96"/>
      <c r="Y144" s="69">
        <f ca="1">Table29[[#This Row],[5/9/2025]]+2-TODAY()</f>
        <v>-17</v>
      </c>
      <c r="Z144" s="15">
        <f>IF(ISBLANK(Table29[[#This Row],[Roster Received By]]),1,0)</f>
        <v>1</v>
      </c>
      <c r="AA144" s="15">
        <f ca="1">IF(Table29[[#This Row],[5/5/2025]]&gt;TODAY(),1,)</f>
        <v>0</v>
      </c>
    </row>
    <row r="145" spans="1:27" x14ac:dyDescent="0.25">
      <c r="A145" s="96"/>
      <c r="B145" s="96" t="s">
        <v>35</v>
      </c>
      <c r="C145" s="97" t="s">
        <v>144</v>
      </c>
      <c r="D145" s="97" t="s">
        <v>145</v>
      </c>
      <c r="E145" s="96" t="s">
        <v>162</v>
      </c>
      <c r="F145" s="170">
        <v>45765</v>
      </c>
      <c r="G145" s="170">
        <v>45765</v>
      </c>
      <c r="H145" s="98">
        <v>0.33333333333333331</v>
      </c>
      <c r="I145" s="102"/>
      <c r="J145" s="99"/>
      <c r="K145" s="99"/>
      <c r="L145" s="99"/>
      <c r="M145" s="99"/>
      <c r="N145" s="99"/>
      <c r="O145" s="96" t="s">
        <v>280</v>
      </c>
      <c r="P145" s="96"/>
      <c r="Q145" s="100">
        <v>30</v>
      </c>
      <c r="R145" s="101">
        <v>1</v>
      </c>
      <c r="S145" s="100"/>
      <c r="T145" s="100"/>
      <c r="U145" s="15"/>
      <c r="V145" s="15"/>
      <c r="W145" s="15"/>
      <c r="X145" s="96"/>
      <c r="Y145" s="69">
        <f ca="1">Table29[[#This Row],[5/9/2025]]+2-TODAY()</f>
        <v>-10</v>
      </c>
      <c r="Z145" s="15">
        <f>IF(ISBLANK(Table29[[#This Row],[Roster Received By]]),1,0)</f>
        <v>1</v>
      </c>
      <c r="AA145" s="15">
        <f ca="1">IF(Table29[[#This Row],[5/5/2025]]&gt;TODAY(),1,)</f>
        <v>0</v>
      </c>
    </row>
    <row r="146" spans="1:27" x14ac:dyDescent="0.25">
      <c r="A146" s="61"/>
      <c r="B146" s="96" t="s">
        <v>35</v>
      </c>
      <c r="C146" s="97" t="s">
        <v>144</v>
      </c>
      <c r="D146" s="97" t="s">
        <v>145</v>
      </c>
      <c r="E146" s="96" t="s">
        <v>202</v>
      </c>
      <c r="F146" s="99">
        <v>45786</v>
      </c>
      <c r="G146" s="99">
        <v>45786</v>
      </c>
      <c r="H146" s="98">
        <v>0.33333333333333331</v>
      </c>
      <c r="I146" s="102"/>
      <c r="J146" s="99"/>
      <c r="K146" s="99"/>
      <c r="L146" s="99"/>
      <c r="M146" s="99"/>
      <c r="N146" s="99"/>
      <c r="O146" s="96" t="s">
        <v>280</v>
      </c>
      <c r="P146" s="96"/>
      <c r="Q146" s="15">
        <v>30</v>
      </c>
      <c r="R146" s="15">
        <v>1</v>
      </c>
      <c r="S146" s="15"/>
      <c r="T146" s="100"/>
      <c r="U146" s="15"/>
      <c r="V146" s="15"/>
      <c r="W146" s="97"/>
      <c r="X146" s="96"/>
      <c r="Y146" s="69">
        <f ca="1">Table29[[#This Row],[5/9/2025]]+2-TODAY()</f>
        <v>11</v>
      </c>
      <c r="Z146" s="15">
        <f>IF(ISBLANK(Table29[[#This Row],[Roster Received By]]),1,0)</f>
        <v>1</v>
      </c>
      <c r="AA146" s="15">
        <f ca="1">IF(Table29[[#This Row],[5/5/2025]]&gt;TODAY(),1,)</f>
        <v>1</v>
      </c>
    </row>
    <row r="147" spans="1:27" x14ac:dyDescent="0.25">
      <c r="A147" s="96"/>
      <c r="B147" s="96" t="s">
        <v>35</v>
      </c>
      <c r="C147" s="97" t="s">
        <v>144</v>
      </c>
      <c r="D147" s="97" t="s">
        <v>145</v>
      </c>
      <c r="E147" s="96" t="s">
        <v>182</v>
      </c>
      <c r="F147" s="170">
        <v>45812</v>
      </c>
      <c r="G147" s="170">
        <v>45812</v>
      </c>
      <c r="H147" s="98">
        <v>0.33333333333333331</v>
      </c>
      <c r="I147" s="105"/>
      <c r="J147" s="99"/>
      <c r="K147" s="99"/>
      <c r="L147" s="99"/>
      <c r="M147" s="99"/>
      <c r="N147" s="99"/>
      <c r="O147" s="96" t="s">
        <v>280</v>
      </c>
      <c r="P147" s="96"/>
      <c r="Q147" s="15">
        <v>30</v>
      </c>
      <c r="R147" s="15">
        <v>1</v>
      </c>
      <c r="S147" s="15"/>
      <c r="T147" s="100"/>
      <c r="U147" s="15"/>
      <c r="V147" s="15"/>
      <c r="W147" s="97"/>
      <c r="X147" s="96"/>
      <c r="Y147" s="69">
        <f ca="1">Table29[[#This Row],[5/9/2025]]+2-TODAY()</f>
        <v>37</v>
      </c>
      <c r="Z147" s="15">
        <f>IF(ISBLANK(Table29[[#This Row],[Roster Received By]]),1,0)</f>
        <v>1</v>
      </c>
      <c r="AA147" s="15">
        <f ca="1">IF(Table29[[#This Row],[5/5/2025]]&gt;TODAY(),1,)</f>
        <v>1</v>
      </c>
    </row>
    <row r="148" spans="1:27" x14ac:dyDescent="0.25">
      <c r="A148" s="61"/>
      <c r="B148" s="96" t="s">
        <v>35</v>
      </c>
      <c r="C148" s="97" t="s">
        <v>144</v>
      </c>
      <c r="D148" s="97" t="s">
        <v>145</v>
      </c>
      <c r="E148" s="96" t="s">
        <v>204</v>
      </c>
      <c r="F148" s="170">
        <v>45814</v>
      </c>
      <c r="G148" s="170">
        <v>45814</v>
      </c>
      <c r="H148" s="98">
        <v>0.33333333333333331</v>
      </c>
      <c r="I148" s="98"/>
      <c r="J148" s="98"/>
      <c r="K148" s="98"/>
      <c r="L148" s="98"/>
      <c r="M148" s="98"/>
      <c r="N148" s="98"/>
      <c r="O148" s="96" t="s">
        <v>280</v>
      </c>
      <c r="P148" s="96"/>
      <c r="Q148" s="15">
        <v>30</v>
      </c>
      <c r="R148" s="15">
        <v>1</v>
      </c>
      <c r="S148" s="15"/>
      <c r="T148" s="100"/>
      <c r="U148" s="15"/>
      <c r="V148" s="15"/>
      <c r="W148" s="15"/>
      <c r="X148" s="96"/>
      <c r="Y148" s="69">
        <f ca="1">Table29[[#This Row],[5/9/2025]]+2-TODAY()</f>
        <v>39</v>
      </c>
      <c r="Z148" s="15">
        <f>IF(ISBLANK(Table29[[#This Row],[Roster Received By]]),1,0)</f>
        <v>1</v>
      </c>
      <c r="AA148" s="15">
        <f ca="1">IF(Table29[[#This Row],[5/5/2025]]&gt;TODAY(),1,)</f>
        <v>1</v>
      </c>
    </row>
    <row r="149" spans="1:27" x14ac:dyDescent="0.25">
      <c r="A149" s="61"/>
      <c r="B149" s="96" t="s">
        <v>35</v>
      </c>
      <c r="C149" s="97" t="s">
        <v>144</v>
      </c>
      <c r="D149" s="97" t="s">
        <v>145</v>
      </c>
      <c r="E149" s="96" t="s">
        <v>198</v>
      </c>
      <c r="F149" s="170">
        <v>45818</v>
      </c>
      <c r="G149" s="170">
        <v>45818</v>
      </c>
      <c r="H149" s="98">
        <v>0.33333333333333331</v>
      </c>
      <c r="I149" s="98"/>
      <c r="J149" s="98"/>
      <c r="K149" s="98"/>
      <c r="L149" s="98"/>
      <c r="M149" s="98"/>
      <c r="N149" s="98"/>
      <c r="O149" s="96" t="s">
        <v>280</v>
      </c>
      <c r="P149" s="96"/>
      <c r="Q149" s="15">
        <v>30</v>
      </c>
      <c r="R149" s="15">
        <v>1</v>
      </c>
      <c r="S149" s="15"/>
      <c r="T149" s="100"/>
      <c r="U149" s="15"/>
      <c r="V149" s="15"/>
      <c r="W149" s="15"/>
      <c r="X149" s="96"/>
      <c r="Y149" s="69">
        <f ca="1">Table29[[#This Row],[5/9/2025]]+2-TODAY()</f>
        <v>43</v>
      </c>
      <c r="Z149" s="15">
        <f>IF(ISBLANK(Table29[[#This Row],[Roster Received By]]),1,0)</f>
        <v>1</v>
      </c>
      <c r="AA149" s="15">
        <f ca="1">IF(Table29[[#This Row],[5/5/2025]]&gt;TODAY(),1,)</f>
        <v>1</v>
      </c>
    </row>
    <row r="150" spans="1:27" x14ac:dyDescent="0.25">
      <c r="A150" s="61"/>
      <c r="B150" s="96" t="s">
        <v>35</v>
      </c>
      <c r="C150" s="97" t="s">
        <v>144</v>
      </c>
      <c r="D150" s="97" t="s">
        <v>145</v>
      </c>
      <c r="E150" s="96" t="s">
        <v>189</v>
      </c>
      <c r="F150" s="170">
        <v>45819</v>
      </c>
      <c r="G150" s="170">
        <v>45819</v>
      </c>
      <c r="H150" s="98">
        <v>0.33333333333333331</v>
      </c>
      <c r="I150" s="98"/>
      <c r="J150" s="98"/>
      <c r="K150" s="98"/>
      <c r="L150" s="98"/>
      <c r="M150" s="98"/>
      <c r="N150" s="98"/>
      <c r="O150" s="96" t="s">
        <v>280</v>
      </c>
      <c r="P150" s="96"/>
      <c r="Q150" s="15">
        <v>30</v>
      </c>
      <c r="R150" s="15">
        <v>1</v>
      </c>
      <c r="S150" s="15"/>
      <c r="T150" s="100"/>
      <c r="U150" s="15"/>
      <c r="V150" s="15"/>
      <c r="W150" s="15"/>
      <c r="X150" s="96"/>
      <c r="Y150" s="69">
        <f ca="1">Table29[[#This Row],[5/9/2025]]+2-TODAY()</f>
        <v>44</v>
      </c>
      <c r="Z150" s="15">
        <f>IF(ISBLANK(Table29[[#This Row],[Roster Received By]]),1,0)</f>
        <v>1</v>
      </c>
      <c r="AA150" s="15">
        <f ca="1">IF(Table29[[#This Row],[5/5/2025]]&gt;TODAY(),1,)</f>
        <v>1</v>
      </c>
    </row>
    <row r="151" spans="1:27" x14ac:dyDescent="0.25">
      <c r="A151" s="96" t="s">
        <v>489</v>
      </c>
      <c r="B151" s="96" t="s">
        <v>35</v>
      </c>
      <c r="C151" s="97" t="s">
        <v>144</v>
      </c>
      <c r="D151" s="97" t="s">
        <v>145</v>
      </c>
      <c r="E151" s="64" t="s">
        <v>221</v>
      </c>
      <c r="F151" s="170">
        <v>45820</v>
      </c>
      <c r="G151" s="170">
        <v>45820</v>
      </c>
      <c r="H151" s="98">
        <v>0.33333333333333331</v>
      </c>
      <c r="I151" s="102"/>
      <c r="J151" s="99"/>
      <c r="K151" s="99"/>
      <c r="L151" s="99"/>
      <c r="M151" s="99"/>
      <c r="N151" s="99"/>
      <c r="O151" s="96" t="s">
        <v>280</v>
      </c>
      <c r="P151" s="96"/>
      <c r="Q151" s="15">
        <v>30</v>
      </c>
      <c r="R151" s="15">
        <v>1</v>
      </c>
      <c r="S151" s="15"/>
      <c r="T151" s="100"/>
      <c r="U151" s="15"/>
      <c r="V151" s="15"/>
      <c r="W151" s="15"/>
      <c r="X151" s="96"/>
      <c r="Y151" s="69">
        <f ca="1">Table29[[#This Row],[5/9/2025]]+2-TODAY()</f>
        <v>45</v>
      </c>
      <c r="Z151" s="15">
        <f>IF(ISBLANK(Table29[[#This Row],[Roster Received By]]),1,0)</f>
        <v>1</v>
      </c>
      <c r="AA151" s="15">
        <f ca="1">IF(Table29[[#This Row],[5/5/2025]]&gt;TODAY(),1,)</f>
        <v>1</v>
      </c>
    </row>
    <row r="152" spans="1:27" x14ac:dyDescent="0.25">
      <c r="A152" s="61"/>
      <c r="B152" s="96" t="s">
        <v>35</v>
      </c>
      <c r="C152" s="97" t="s">
        <v>144</v>
      </c>
      <c r="D152" s="97" t="s">
        <v>145</v>
      </c>
      <c r="E152" s="96" t="s">
        <v>164</v>
      </c>
      <c r="F152" s="170">
        <v>45839</v>
      </c>
      <c r="G152" s="170">
        <v>45839</v>
      </c>
      <c r="H152" s="98">
        <v>0.33333333333333331</v>
      </c>
      <c r="I152" s="98"/>
      <c r="J152" s="98"/>
      <c r="K152" s="98"/>
      <c r="L152" s="98"/>
      <c r="M152" s="98"/>
      <c r="N152" s="98"/>
      <c r="O152" s="96" t="s">
        <v>280</v>
      </c>
      <c r="P152" s="96"/>
      <c r="Q152" s="15">
        <v>30</v>
      </c>
      <c r="R152" s="15">
        <v>1</v>
      </c>
      <c r="S152" s="15"/>
      <c r="T152" s="100"/>
      <c r="U152" s="15"/>
      <c r="V152" s="15"/>
      <c r="W152" s="15"/>
      <c r="X152" s="96"/>
      <c r="Y152" s="69">
        <f ca="1">Table29[[#This Row],[5/9/2025]]+2-TODAY()</f>
        <v>64</v>
      </c>
      <c r="Z152" s="15">
        <f>IF(ISBLANK(Table29[[#This Row],[Roster Received By]]),1,0)</f>
        <v>1</v>
      </c>
      <c r="AA152" s="15">
        <f ca="1">IF(Table29[[#This Row],[5/5/2025]]&gt;TODAY(),1,)</f>
        <v>1</v>
      </c>
    </row>
    <row r="153" spans="1:27" x14ac:dyDescent="0.25">
      <c r="A153" s="96"/>
      <c r="B153" s="96" t="s">
        <v>35</v>
      </c>
      <c r="C153" s="97" t="s">
        <v>144</v>
      </c>
      <c r="D153" s="97" t="s">
        <v>145</v>
      </c>
      <c r="E153" s="96" t="s">
        <v>159</v>
      </c>
      <c r="F153" s="170">
        <v>45846</v>
      </c>
      <c r="G153" s="170">
        <v>45846</v>
      </c>
      <c r="H153" s="98">
        <v>0.33333333333333331</v>
      </c>
      <c r="I153" s="105"/>
      <c r="J153" s="99"/>
      <c r="K153" s="99"/>
      <c r="L153" s="99"/>
      <c r="M153" s="99"/>
      <c r="N153" s="99"/>
      <c r="O153" s="96" t="s">
        <v>280</v>
      </c>
      <c r="P153" s="96"/>
      <c r="Q153" s="100">
        <v>30</v>
      </c>
      <c r="R153" s="101">
        <v>1</v>
      </c>
      <c r="S153" s="100"/>
      <c r="T153" s="100"/>
      <c r="U153" s="15"/>
      <c r="V153" s="15"/>
      <c r="W153" s="97"/>
      <c r="X153" s="96"/>
      <c r="Y153" s="69">
        <f ca="1">Table29[[#This Row],[5/9/2025]]+2-TODAY()</f>
        <v>71</v>
      </c>
      <c r="Z153" s="15">
        <f>IF(ISBLANK(Table29[[#This Row],[Roster Received By]]),1,0)</f>
        <v>1</v>
      </c>
      <c r="AA153" s="15">
        <f ca="1">IF(Table29[[#This Row],[5/5/2025]]&gt;TODAY(),1,)</f>
        <v>1</v>
      </c>
    </row>
    <row r="154" spans="1:27" x14ac:dyDescent="0.25">
      <c r="A154" s="96"/>
      <c r="B154" s="96" t="s">
        <v>35</v>
      </c>
      <c r="C154" s="97" t="s">
        <v>144</v>
      </c>
      <c r="D154" s="97" t="s">
        <v>145</v>
      </c>
      <c r="E154" s="96" t="s">
        <v>170</v>
      </c>
      <c r="F154" s="170">
        <v>45847</v>
      </c>
      <c r="G154" s="170">
        <v>45847</v>
      </c>
      <c r="H154" s="98">
        <v>0.33333333333333331</v>
      </c>
      <c r="I154" s="98"/>
      <c r="J154" s="98"/>
      <c r="K154" s="98"/>
      <c r="L154" s="98"/>
      <c r="M154" s="98"/>
      <c r="N154" s="98"/>
      <c r="O154" s="96" t="s">
        <v>280</v>
      </c>
      <c r="P154" s="96"/>
      <c r="Q154" s="15">
        <v>30</v>
      </c>
      <c r="R154" s="15">
        <v>1</v>
      </c>
      <c r="S154" s="15"/>
      <c r="T154" s="100"/>
      <c r="U154" s="15"/>
      <c r="V154" s="15"/>
      <c r="W154" s="15"/>
      <c r="X154" s="96"/>
      <c r="Y154" s="69">
        <f ca="1">Table29[[#This Row],[5/9/2025]]+2-TODAY()</f>
        <v>72</v>
      </c>
      <c r="Z154" s="15">
        <f>IF(ISBLANK(Table29[[#This Row],[Roster Received By]]),1,0)</f>
        <v>1</v>
      </c>
      <c r="AA154" s="15">
        <f ca="1">IF(Table29[[#This Row],[5/5/2025]]&gt;TODAY(),1,)</f>
        <v>1</v>
      </c>
    </row>
    <row r="155" spans="1:27" x14ac:dyDescent="0.25">
      <c r="A155" s="96"/>
      <c r="B155" s="96" t="s">
        <v>35</v>
      </c>
      <c r="C155" s="97" t="s">
        <v>144</v>
      </c>
      <c r="D155" s="97" t="s">
        <v>145</v>
      </c>
      <c r="E155" s="96" t="s">
        <v>169</v>
      </c>
      <c r="F155" s="99">
        <v>45848</v>
      </c>
      <c r="G155" s="99">
        <v>45848</v>
      </c>
      <c r="H155" s="98">
        <v>0.33333333333333331</v>
      </c>
      <c r="I155" s="105"/>
      <c r="J155" s="99"/>
      <c r="K155" s="99"/>
      <c r="L155" s="99"/>
      <c r="M155" s="99"/>
      <c r="N155" s="99"/>
      <c r="O155" s="96" t="s">
        <v>280</v>
      </c>
      <c r="P155" s="96"/>
      <c r="Q155" s="100">
        <v>30</v>
      </c>
      <c r="R155" s="101">
        <v>1</v>
      </c>
      <c r="S155" s="100"/>
      <c r="T155" s="100"/>
      <c r="U155" s="15"/>
      <c r="V155" s="15"/>
      <c r="W155" s="97"/>
      <c r="X155" s="96"/>
      <c r="Y155" s="69">
        <f ca="1">Table29[[#This Row],[5/9/2025]]+2-TODAY()</f>
        <v>73</v>
      </c>
      <c r="Z155" s="15">
        <f>IF(ISBLANK(Table29[[#This Row],[Roster Received By]]),1,0)</f>
        <v>1</v>
      </c>
      <c r="AA155" s="15">
        <f ca="1">IF(Table29[[#This Row],[5/5/2025]]&gt;TODAY(),1,)</f>
        <v>1</v>
      </c>
    </row>
    <row r="156" spans="1:27" x14ac:dyDescent="0.25">
      <c r="A156" s="61"/>
      <c r="B156" s="96" t="s">
        <v>35</v>
      </c>
      <c r="C156" s="97" t="s">
        <v>144</v>
      </c>
      <c r="D156" s="97" t="s">
        <v>145</v>
      </c>
      <c r="E156" s="96" t="s">
        <v>172</v>
      </c>
      <c r="F156" s="99">
        <v>45874</v>
      </c>
      <c r="G156" s="99">
        <v>45874</v>
      </c>
      <c r="H156" s="98">
        <v>0.33333333333333331</v>
      </c>
      <c r="I156" s="102"/>
      <c r="J156" s="99"/>
      <c r="K156" s="99"/>
      <c r="L156" s="99"/>
      <c r="M156" s="99"/>
      <c r="N156" s="99"/>
      <c r="O156" s="96" t="s">
        <v>280</v>
      </c>
      <c r="P156" s="96"/>
      <c r="Q156" s="100">
        <v>30</v>
      </c>
      <c r="R156" s="101">
        <v>1</v>
      </c>
      <c r="S156" s="100"/>
      <c r="T156" s="100"/>
      <c r="U156" s="15"/>
      <c r="V156" s="15"/>
      <c r="W156" s="15"/>
      <c r="X156" s="96"/>
      <c r="Y156" s="69">
        <f ca="1">Table29[[#This Row],[5/9/2025]]+2-TODAY()</f>
        <v>99</v>
      </c>
      <c r="Z156" s="15">
        <f>IF(ISBLANK(Table29[[#This Row],[Roster Received By]]),1,0)</f>
        <v>1</v>
      </c>
      <c r="AA156" s="15">
        <f ca="1">IF(Table29[[#This Row],[5/5/2025]]&gt;TODAY(),1,)</f>
        <v>1</v>
      </c>
    </row>
    <row r="157" spans="1:27" x14ac:dyDescent="0.25">
      <c r="A157" s="96"/>
      <c r="B157" s="96" t="s">
        <v>35</v>
      </c>
      <c r="C157" s="97" t="s">
        <v>144</v>
      </c>
      <c r="D157" s="97" t="s">
        <v>145</v>
      </c>
      <c r="E157" s="96" t="s">
        <v>175</v>
      </c>
      <c r="F157" s="99">
        <v>45876</v>
      </c>
      <c r="G157" s="99">
        <v>45876</v>
      </c>
      <c r="H157" s="98">
        <v>0.33333333333333331</v>
      </c>
      <c r="I157" s="105"/>
      <c r="J157" s="99"/>
      <c r="K157" s="99"/>
      <c r="L157" s="99"/>
      <c r="M157" s="99"/>
      <c r="N157" s="99"/>
      <c r="O157" s="96" t="s">
        <v>280</v>
      </c>
      <c r="P157" s="96"/>
      <c r="Q157" s="100">
        <v>30</v>
      </c>
      <c r="R157" s="101">
        <v>1</v>
      </c>
      <c r="S157" s="100"/>
      <c r="T157" s="100"/>
      <c r="U157" s="15"/>
      <c r="V157" s="15"/>
      <c r="W157" s="97"/>
      <c r="X157" s="96"/>
      <c r="Y157" s="69">
        <f ca="1">Table29[[#This Row],[5/9/2025]]+2-TODAY()</f>
        <v>101</v>
      </c>
      <c r="Z157" s="15">
        <f>IF(ISBLANK(Table29[[#This Row],[Roster Received By]]),1,0)</f>
        <v>1</v>
      </c>
      <c r="AA157" s="15">
        <f ca="1">IF(Table29[[#This Row],[5/5/2025]]&gt;TODAY(),1,)</f>
        <v>1</v>
      </c>
    </row>
    <row r="158" spans="1:27" x14ac:dyDescent="0.25">
      <c r="A158" s="96"/>
      <c r="B158" s="96" t="s">
        <v>35</v>
      </c>
      <c r="C158" s="97" t="s">
        <v>144</v>
      </c>
      <c r="D158" s="97" t="s">
        <v>145</v>
      </c>
      <c r="E158" s="96" t="s">
        <v>176</v>
      </c>
      <c r="F158" s="99">
        <v>45882</v>
      </c>
      <c r="G158" s="99">
        <v>45882</v>
      </c>
      <c r="H158" s="98">
        <v>0.33333333333333331</v>
      </c>
      <c r="I158" s="105"/>
      <c r="J158" s="99"/>
      <c r="K158" s="99"/>
      <c r="L158" s="99"/>
      <c r="M158" s="99"/>
      <c r="N158" s="99"/>
      <c r="O158" s="96" t="s">
        <v>280</v>
      </c>
      <c r="P158" s="96"/>
      <c r="Q158" s="100">
        <v>30</v>
      </c>
      <c r="R158" s="101">
        <v>1</v>
      </c>
      <c r="S158" s="100"/>
      <c r="T158" s="100"/>
      <c r="U158" s="15"/>
      <c r="V158" s="15"/>
      <c r="W158" s="97"/>
      <c r="X158" s="96"/>
      <c r="Y158" s="69">
        <f ca="1">Table29[[#This Row],[5/9/2025]]+2-TODAY()</f>
        <v>107</v>
      </c>
      <c r="Z158" s="15">
        <f>IF(ISBLANK(Table29[[#This Row],[Roster Received By]]),1,0)</f>
        <v>1</v>
      </c>
      <c r="AA158" s="15">
        <f ca="1">IF(Table29[[#This Row],[5/5/2025]]&gt;TODAY(),1,)</f>
        <v>1</v>
      </c>
    </row>
    <row r="159" spans="1:27" x14ac:dyDescent="0.25">
      <c r="A159" s="61"/>
      <c r="B159" s="96" t="s">
        <v>35</v>
      </c>
      <c r="C159" s="97" t="s">
        <v>144</v>
      </c>
      <c r="D159" s="97" t="s">
        <v>145</v>
      </c>
      <c r="E159" s="96" t="s">
        <v>209</v>
      </c>
      <c r="F159" s="176">
        <v>45884</v>
      </c>
      <c r="G159" s="176">
        <v>45884</v>
      </c>
      <c r="H159" s="98">
        <v>0.33333333333333331</v>
      </c>
      <c r="I159" s="98"/>
      <c r="J159" s="98"/>
      <c r="K159" s="98"/>
      <c r="L159" s="98"/>
      <c r="M159" s="98"/>
      <c r="N159" s="98"/>
      <c r="O159" s="96" t="s">
        <v>280</v>
      </c>
      <c r="P159" s="96"/>
      <c r="Q159" s="15">
        <v>30</v>
      </c>
      <c r="R159" s="15">
        <v>1</v>
      </c>
      <c r="S159" s="15"/>
      <c r="T159" s="100"/>
      <c r="U159" s="15"/>
      <c r="V159" s="15"/>
      <c r="W159" s="15"/>
      <c r="X159" s="96"/>
      <c r="Y159" s="69">
        <f ca="1">Table29[[#This Row],[5/9/2025]]+2-TODAY()</f>
        <v>109</v>
      </c>
      <c r="Z159" s="15">
        <f>IF(ISBLANK(Table29[[#This Row],[Roster Received By]]),1,0)</f>
        <v>1</v>
      </c>
      <c r="AA159" s="15">
        <f ca="1">IF(Table29[[#This Row],[5/5/2025]]&gt;TODAY(),1,)</f>
        <v>1</v>
      </c>
    </row>
    <row r="160" spans="1:27" x14ac:dyDescent="0.25">
      <c r="A160" s="61"/>
      <c r="B160" s="96" t="s">
        <v>35</v>
      </c>
      <c r="C160" s="97" t="s">
        <v>144</v>
      </c>
      <c r="D160" s="97" t="s">
        <v>145</v>
      </c>
      <c r="E160" s="96" t="s">
        <v>195</v>
      </c>
      <c r="F160" s="170">
        <v>45895</v>
      </c>
      <c r="G160" s="170">
        <v>45895</v>
      </c>
      <c r="H160" s="98">
        <v>0.33333333333333331</v>
      </c>
      <c r="I160" s="98"/>
      <c r="J160" s="98"/>
      <c r="K160" s="98"/>
      <c r="L160" s="98"/>
      <c r="M160" s="98"/>
      <c r="N160" s="98"/>
      <c r="O160" s="96" t="s">
        <v>280</v>
      </c>
      <c r="P160" s="96"/>
      <c r="Q160" s="15">
        <v>30</v>
      </c>
      <c r="R160" s="15">
        <v>1</v>
      </c>
      <c r="S160" s="15"/>
      <c r="T160" s="100"/>
      <c r="U160" s="15"/>
      <c r="V160" s="15"/>
      <c r="W160" s="100"/>
      <c r="X160" s="96"/>
      <c r="Y160" s="69">
        <f ca="1">Table29[[#This Row],[5/9/2025]]+2-TODAY()</f>
        <v>120</v>
      </c>
      <c r="Z160" s="15">
        <f>IF(ISBLANK(Table29[[#This Row],[Roster Received By]]),1,0)</f>
        <v>1</v>
      </c>
      <c r="AA160" s="15">
        <f ca="1">IF(Table29[[#This Row],[5/5/2025]]&gt;TODAY(),1,)</f>
        <v>1</v>
      </c>
    </row>
    <row r="161" spans="1:27" x14ac:dyDescent="0.25">
      <c r="A161" s="96"/>
      <c r="B161" s="149" t="s">
        <v>36</v>
      </c>
      <c r="C161" s="150" t="s">
        <v>352</v>
      </c>
      <c r="D161" s="150" t="s">
        <v>353</v>
      </c>
      <c r="E161" s="177" t="s">
        <v>284</v>
      </c>
      <c r="F161" s="151">
        <v>45726</v>
      </c>
      <c r="G161" s="151">
        <v>45730</v>
      </c>
      <c r="H161" s="152">
        <v>0.33333333333333331</v>
      </c>
      <c r="I161" s="102"/>
      <c r="J161" s="99"/>
      <c r="K161" s="99"/>
      <c r="L161" s="99"/>
      <c r="M161" s="99"/>
      <c r="N161" s="99"/>
      <c r="O161" s="96" t="s">
        <v>280</v>
      </c>
      <c r="P161" s="96"/>
      <c r="Q161" s="15">
        <v>25</v>
      </c>
      <c r="R161" s="15">
        <v>2</v>
      </c>
      <c r="S161" s="15"/>
      <c r="T161" s="100"/>
      <c r="U161" s="15"/>
      <c r="V161" s="15"/>
      <c r="W161" s="15"/>
      <c r="X161" s="96"/>
      <c r="Y161" s="69">
        <f ca="1">Table29[[#This Row],[5/9/2025]]+2-TODAY()</f>
        <v>-45</v>
      </c>
      <c r="Z161" s="15">
        <f>IF(ISBLANK(Table29[[#This Row],[Roster Received By]]),1,0)</f>
        <v>1</v>
      </c>
      <c r="AA161" s="15">
        <f ca="1">IF(Table29[[#This Row],[5/5/2025]]&gt;TODAY(),1,)</f>
        <v>0</v>
      </c>
    </row>
    <row r="162" spans="1:27" x14ac:dyDescent="0.25">
      <c r="A162" s="61"/>
      <c r="B162" s="149" t="s">
        <v>36</v>
      </c>
      <c r="C162" s="150" t="s">
        <v>352</v>
      </c>
      <c r="D162" s="150" t="s">
        <v>353</v>
      </c>
      <c r="E162" s="149" t="s">
        <v>160</v>
      </c>
      <c r="F162" s="151">
        <v>45810</v>
      </c>
      <c r="G162" s="151">
        <v>45814</v>
      </c>
      <c r="H162" s="152">
        <v>0.33333333333333331</v>
      </c>
      <c r="I162" s="98"/>
      <c r="J162" s="98"/>
      <c r="K162" s="98"/>
      <c r="L162" s="98"/>
      <c r="M162" s="98"/>
      <c r="N162" s="98"/>
      <c r="O162" s="96" t="s">
        <v>280</v>
      </c>
      <c r="P162" s="96"/>
      <c r="Q162" s="15">
        <v>25</v>
      </c>
      <c r="R162" s="15">
        <v>2</v>
      </c>
      <c r="S162" s="15"/>
      <c r="T162" s="100"/>
      <c r="U162" s="15"/>
      <c r="V162" s="15"/>
      <c r="W162" s="15"/>
      <c r="X162" s="96"/>
      <c r="Y162" s="69">
        <f ca="1">Table29[[#This Row],[5/9/2025]]+2-TODAY()</f>
        <v>39</v>
      </c>
      <c r="Z162" s="15">
        <f>IF(ISBLANK(Table29[[#This Row],[Roster Received By]]),1,0)</f>
        <v>1</v>
      </c>
      <c r="AA162" s="15">
        <f ca="1">IF(Table29[[#This Row],[5/5/2025]]&gt;TODAY(),1,)</f>
        <v>1</v>
      </c>
    </row>
    <row r="163" spans="1:27" x14ac:dyDescent="0.25">
      <c r="A163" s="165" t="s">
        <v>62</v>
      </c>
      <c r="B163" s="165">
        <f>SUBTOTAL(103,Table29[Course Title])</f>
        <v>159</v>
      </c>
      <c r="C163" s="165"/>
      <c r="D163" s="165"/>
      <c r="E163" s="165"/>
      <c r="F163" s="166"/>
      <c r="G163" s="166"/>
      <c r="H163" s="165"/>
      <c r="I163" s="165"/>
      <c r="J163" s="165"/>
      <c r="K163" s="165"/>
      <c r="L163" s="165"/>
      <c r="M163" s="165"/>
      <c r="N163" s="165"/>
      <c r="O163" s="165"/>
      <c r="P163" s="165"/>
      <c r="Q163" s="167">
        <f>SUBTOTAL(109,Q4:Q162)</f>
        <v>5315</v>
      </c>
      <c r="R163" s="167">
        <f>SUBTOTAL(109,Table29[Course Length (Days)])</f>
        <v>398</v>
      </c>
      <c r="S163" s="167">
        <f>SUBTOTAL(109,S4:S162)</f>
        <v>0</v>
      </c>
      <c r="T163" s="167">
        <f>SUBTOTAL(109,T4:T162)</f>
        <v>0</v>
      </c>
      <c r="U163" s="167">
        <f>SUBTOTAL(109,U4:U162)</f>
        <v>0</v>
      </c>
      <c r="V163" s="167">
        <f>SUBTOTAL(109,V4:V162)</f>
        <v>0</v>
      </c>
      <c r="W163" s="167">
        <f>SUBTOTAL(109,W4:W162)</f>
        <v>0</v>
      </c>
      <c r="X163" s="165">
        <f>SUBTOTAL(103,Table29[Roster Received By])</f>
        <v>0</v>
      </c>
      <c r="Y163" s="168"/>
      <c r="Z163" s="165"/>
      <c r="AA163" s="165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4:D162" name="CIN CDP_1"/>
  </protectedRanges>
  <conditionalFormatting sqref="A11:A23">
    <cfRule type="expression" dxfId="762" priority="1">
      <formula>$T11="Benzick, Sue"</formula>
    </cfRule>
    <cfRule type="expression" dxfId="761" priority="2">
      <formula>$T11="Jenne, Richard"</formula>
    </cfRule>
    <cfRule type="expression" dxfId="760" priority="3">
      <formula>$T11="McQueen, Jennifer"</formula>
    </cfRule>
  </conditionalFormatting>
  <conditionalFormatting sqref="A51">
    <cfRule type="expression" dxfId="759" priority="4">
      <formula>$T51="Benzick, Sue"</formula>
    </cfRule>
    <cfRule type="expression" dxfId="758" priority="5">
      <formula>$T51="Jenne, Richard"</formula>
    </cfRule>
    <cfRule type="expression" dxfId="757" priority="6">
      <formula>$T51="McQueen, Jennifer"</formula>
    </cfRule>
  </conditionalFormatting>
  <conditionalFormatting sqref="E44 F80:G80 F82:G84 F101:G101 F103">
    <cfRule type="expression" dxfId="756" priority="229">
      <formula>$R44="Benzick, Sue"</formula>
    </cfRule>
    <cfRule type="expression" dxfId="755" priority="230">
      <formula>$R44="Jenne, Richard"</formula>
    </cfRule>
    <cfRule type="expression" dxfId="754" priority="231">
      <formula>$R44="McQueen, Jennifer"</formula>
    </cfRule>
  </conditionalFormatting>
  <conditionalFormatting sqref="E64">
    <cfRule type="expression" dxfId="753" priority="221">
      <formula>#REF!="Jenne, Richard"</formula>
    </cfRule>
    <cfRule type="expression" dxfId="752" priority="220">
      <formula>#REF!="Benzick, Sue"</formula>
    </cfRule>
    <cfRule type="expression" dxfId="751" priority="222">
      <formula>#REF!="McQueen, Jennifer"</formula>
    </cfRule>
  </conditionalFormatting>
  <conditionalFormatting sqref="E58:G61 F62:G62">
    <cfRule type="expression" dxfId="750" priority="225">
      <formula>#REF!="McQueen, Jennifer"</formula>
    </cfRule>
    <cfRule type="expression" dxfId="749" priority="224">
      <formula>#REF!="Jenne, Richard"</formula>
    </cfRule>
    <cfRule type="expression" dxfId="748" priority="223">
      <formula>#REF!="Benzick, Sue"</formula>
    </cfRule>
  </conditionalFormatting>
  <conditionalFormatting sqref="E65:G72">
    <cfRule type="expression" dxfId="747" priority="199">
      <formula>#REF!="Benzick, Sue"</formula>
    </cfRule>
    <cfRule type="expression" dxfId="746" priority="200">
      <formula>#REF!="Jenne, Richard"</formula>
    </cfRule>
    <cfRule type="expression" dxfId="745" priority="201">
      <formula>#REF!="McQueen, Jennifer"</formula>
    </cfRule>
  </conditionalFormatting>
  <conditionalFormatting sqref="E75:G75 F76:G76 I76:I84 E77:G77 I88:I97 I99:I100 H105 H109:H112">
    <cfRule type="expression" dxfId="744" priority="205">
      <formula>#REF!="Benzick, Sue"</formula>
    </cfRule>
    <cfRule type="expression" dxfId="743" priority="206">
      <formula>#REF!="Jenne, Richard"</formula>
    </cfRule>
    <cfRule type="expression" dxfId="742" priority="207">
      <formula>#REF!="McQueen, Jennifer"</formula>
    </cfRule>
  </conditionalFormatting>
  <conditionalFormatting sqref="E113:G113">
    <cfRule type="expression" dxfId="741" priority="193">
      <formula>#REF!="Benzick, Sue"</formula>
    </cfRule>
    <cfRule type="expression" dxfId="740" priority="194">
      <formula>#REF!="Jenne, Richard"</formula>
    </cfRule>
    <cfRule type="expression" dxfId="739" priority="195">
      <formula>#REF!="McQueen, Jennifer"</formula>
    </cfRule>
  </conditionalFormatting>
  <conditionalFormatting sqref="F15:F18">
    <cfRule type="expression" dxfId="738" priority="180">
      <formula>$T15="McQueen, Jennifer"</formula>
    </cfRule>
    <cfRule type="expression" dxfId="737" priority="178">
      <formula>$T15="Benzick, Sue"</formula>
    </cfRule>
    <cfRule type="expression" dxfId="736" priority="179">
      <formula>$T15="Jenne, Richard"</formula>
    </cfRule>
  </conditionalFormatting>
  <conditionalFormatting sqref="F23">
    <cfRule type="expression" dxfId="735" priority="174">
      <formula>$T23="McQueen, Jennifer"</formula>
    </cfRule>
    <cfRule type="expression" dxfId="734" priority="173">
      <formula>$T23="Jenne, Richard"</formula>
    </cfRule>
    <cfRule type="expression" dxfId="733" priority="172">
      <formula>$T23="Benzick, Sue"</formula>
    </cfRule>
  </conditionalFormatting>
  <conditionalFormatting sqref="F44:F45">
    <cfRule type="expression" dxfId="732" priority="167">
      <formula>$T44="Jenne, Richard"</formula>
    </cfRule>
    <cfRule type="expression" dxfId="731" priority="166">
      <formula>$T44="Benzick, Sue"</formula>
    </cfRule>
    <cfRule type="expression" dxfId="730" priority="168">
      <formula>$T44="McQueen, Jennifer"</formula>
    </cfRule>
  </conditionalFormatting>
  <conditionalFormatting sqref="F64">
    <cfRule type="expression" dxfId="729" priority="23">
      <formula>$S64="Jenne, Richard"</formula>
    </cfRule>
    <cfRule type="expression" dxfId="728" priority="22">
      <formula>$S64="Benzick, Sue"</formula>
    </cfRule>
    <cfRule type="expression" dxfId="727" priority="24">
      <formula>$S64="McQueen, Jennifer"</formula>
    </cfRule>
  </conditionalFormatting>
  <conditionalFormatting sqref="F104 F110:F111">
    <cfRule type="expression" dxfId="726" priority="192">
      <formula>$S105="McQueen, Jennifer"</formula>
    </cfRule>
    <cfRule type="expression" dxfId="725" priority="191">
      <formula>$S105="Jenne, Richard"</formula>
    </cfRule>
    <cfRule type="expression" dxfId="724" priority="190">
      <formula>$S105="Benzick, Sue"</formula>
    </cfRule>
  </conditionalFormatting>
  <conditionalFormatting sqref="F105:F106">
    <cfRule type="expression" dxfId="723" priority="187">
      <formula>$S107="Benzick, Sue"</formula>
    </cfRule>
    <cfRule type="expression" dxfId="722" priority="188">
      <formula>$S107="Jenne, Richard"</formula>
    </cfRule>
    <cfRule type="expression" dxfId="721" priority="189">
      <formula>$S107="McQueen, Jennifer"</formula>
    </cfRule>
  </conditionalFormatting>
  <conditionalFormatting sqref="F10:G11 F13:G14 J18:N24 E25 E28 A29:A41 E30 E33:E34 F33:G35 J35:N35 E36:F36 F37:G37 F39:G40 E39:E42 F43:G43 A43:A45 A49 A59:A60 A69:A73 A75:A86 A88:A90 J92:N92 A92:A102 J94:N95 E97:E100 J99:N100 B103 E103 A104:B112 J109:N112">
    <cfRule type="expression" dxfId="720" priority="232">
      <formula>$T10="Benzick, Sue"</formula>
    </cfRule>
    <cfRule type="expression" dxfId="719" priority="233">
      <formula>$T10="Jenne, Richard"</formula>
    </cfRule>
    <cfRule type="expression" dxfId="718" priority="234">
      <formula>$T10="McQueen, Jennifer"</formula>
    </cfRule>
  </conditionalFormatting>
  <conditionalFormatting sqref="F19:G22 E48:G56 E57">
    <cfRule type="expression" dxfId="717" priority="210">
      <formula>#REF!="McQueen, Jennifer"</formula>
    </cfRule>
    <cfRule type="expression" dxfId="716" priority="208">
      <formula>#REF!="Benzick, Sue"</formula>
    </cfRule>
    <cfRule type="expression" dxfId="715" priority="209">
      <formula>#REF!="Jenne, Richard"</formula>
    </cfRule>
  </conditionalFormatting>
  <conditionalFormatting sqref="F31:G32">
    <cfRule type="expression" dxfId="714" priority="171">
      <formula>#REF!="McQueen, Jennifer"</formula>
    </cfRule>
    <cfRule type="expression" dxfId="713" priority="169">
      <formula>#REF!="Benzick, Sue"</formula>
    </cfRule>
    <cfRule type="expression" dxfId="712" priority="170">
      <formula>#REF!="Jenne, Richard"</formula>
    </cfRule>
  </conditionalFormatting>
  <conditionalFormatting sqref="F46:G47">
    <cfRule type="expression" dxfId="711" priority="154">
      <formula>$R46="Benzick, Sue"</formula>
    </cfRule>
    <cfRule type="expression" dxfId="710" priority="156">
      <formula>$R46="McQueen, Jennifer"</formula>
    </cfRule>
    <cfRule type="expression" dxfId="709" priority="155">
      <formula>$R46="Jenne, Richard"</formula>
    </cfRule>
  </conditionalFormatting>
  <conditionalFormatting sqref="F57:G57">
    <cfRule type="expression" dxfId="708" priority="16">
      <formula>#REF!="Benzick, Sue"</formula>
    </cfRule>
    <cfRule type="expression" dxfId="707" priority="17">
      <formula>#REF!="Jenne, Richard"</formula>
    </cfRule>
    <cfRule type="expression" dxfId="706" priority="18">
      <formula>#REF!="McQueen, Jennifer"</formula>
    </cfRule>
  </conditionalFormatting>
  <conditionalFormatting sqref="G7:G8 F9:G9">
    <cfRule type="expression" dxfId="705" priority="181">
      <formula>#REF!="Benzick, Sue"</formula>
    </cfRule>
    <cfRule type="expression" dxfId="704" priority="182">
      <formula>#REF!="Jenne, Richard"</formula>
    </cfRule>
    <cfRule type="expression" dxfId="703" priority="183">
      <formula>#REF!="McQueen, Jennifer"</formula>
    </cfRule>
  </conditionalFormatting>
  <conditionalFormatting sqref="G12">
    <cfRule type="expression" dxfId="702" priority="175">
      <formula>#REF!="Benzick, Sue"</formula>
    </cfRule>
    <cfRule type="expression" dxfId="701" priority="177">
      <formula>#REF!="McQueen, Jennifer"</formula>
    </cfRule>
    <cfRule type="expression" dxfId="700" priority="176">
      <formula>#REF!="Jenne, Richard"</formula>
    </cfRule>
  </conditionalFormatting>
  <conditionalFormatting sqref="G38">
    <cfRule type="expression" dxfId="699" priority="163">
      <formula>#REF!="Benzick, Sue"</formula>
    </cfRule>
    <cfRule type="expression" dxfId="698" priority="165">
      <formula>#REF!="McQueen, Jennifer"</formula>
    </cfRule>
    <cfRule type="expression" dxfId="697" priority="164">
      <formula>#REF!="Jenne, Richard"</formula>
    </cfRule>
  </conditionalFormatting>
  <conditionalFormatting sqref="G44:G45">
    <cfRule type="expression" dxfId="696" priority="158">
      <formula>$T44="Jenne, Richard"</formula>
    </cfRule>
    <cfRule type="expression" dxfId="695" priority="159">
      <formula>$T44="McQueen, Jennifer"</formula>
    </cfRule>
    <cfRule type="expression" dxfId="694" priority="157">
      <formula>$T44="Benzick, Sue"</formula>
    </cfRule>
  </conditionalFormatting>
  <conditionalFormatting sqref="G64">
    <cfRule type="expression" dxfId="693" priority="19">
      <formula>$S64="Benzick, Sue"</formula>
    </cfRule>
    <cfRule type="expression" dxfId="692" priority="20">
      <formula>$S64="Jenne, Richard"</formula>
    </cfRule>
    <cfRule type="expression" dxfId="691" priority="21">
      <formula>$S64="McQueen, Jennifer"</formula>
    </cfRule>
  </conditionalFormatting>
  <conditionalFormatting sqref="G98">
    <cfRule type="expression" dxfId="690" priority="27">
      <formula>$S98="McQueen, Jennifer"</formula>
    </cfRule>
    <cfRule type="expression" dxfId="689" priority="25">
      <formula>$S98="Benzick, Sue"</formula>
    </cfRule>
    <cfRule type="expression" dxfId="688" priority="26">
      <formula>$S98="Jenne, Richard"</formula>
    </cfRule>
  </conditionalFormatting>
  <conditionalFormatting sqref="H4:H28">
    <cfRule type="expression" dxfId="687" priority="11">
      <formula>$S4="Jenne, Richard"</formula>
    </cfRule>
    <cfRule type="expression" dxfId="686" priority="10">
      <formula>$S4="Benzick, Sue"</formula>
    </cfRule>
    <cfRule type="expression" dxfId="685" priority="12">
      <formula>$S4="McQueen, Jennifer"</formula>
    </cfRule>
  </conditionalFormatting>
  <conditionalFormatting sqref="H30:H103">
    <cfRule type="expression" dxfId="684" priority="86">
      <formula>$S30="Jenne, Richard"</formula>
    </cfRule>
    <cfRule type="expression" dxfId="683" priority="87">
      <formula>$S30="McQueen, Jennifer"</formula>
    </cfRule>
    <cfRule type="expression" dxfId="682" priority="85">
      <formula>$S30="Benzick, Sue"</formula>
    </cfRule>
  </conditionalFormatting>
  <conditionalFormatting sqref="I4:I14 I18:I25 G28:G30 I38 I42:I50 I51:N51 I61:N61 I62:I63 E63:G63 I64:N65 I68:N69 I71:N72 I75:N75 I85:N86 I98:N98 I101:N103 J104:N104 J106:N108 H113:I113">
    <cfRule type="expression" dxfId="681" priority="226">
      <formula>#REF!="Benzick, Sue"</formula>
    </cfRule>
    <cfRule type="expression" dxfId="680" priority="227">
      <formula>#REF!="Jenne, Richard"</formula>
    </cfRule>
    <cfRule type="expression" dxfId="679" priority="228">
      <formula>#REF!="McQueen, Jennifer"</formula>
    </cfRule>
  </conditionalFormatting>
  <conditionalFormatting sqref="I17">
    <cfRule type="expression" dxfId="678" priority="126">
      <formula>$S17="McQueen, Jennifer"</formula>
    </cfRule>
    <cfRule type="expression" dxfId="677" priority="125">
      <formula>$S17="Jenne, Richard"</formula>
    </cfRule>
    <cfRule type="expression" dxfId="676" priority="124">
      <formula>$S17="Benzick, Sue"</formula>
    </cfRule>
  </conditionalFormatting>
  <conditionalFormatting sqref="I26:I27">
    <cfRule type="expression" dxfId="675" priority="51">
      <formula>$S26="McQueen, Jennifer"</formula>
    </cfRule>
    <cfRule type="expression" dxfId="674" priority="50">
      <formula>$S26="Jenne, Richard"</formula>
    </cfRule>
    <cfRule type="expression" dxfId="673" priority="49">
      <formula>$S26="Benzick, Sue"</formula>
    </cfRule>
  </conditionalFormatting>
  <conditionalFormatting sqref="I31">
    <cfRule type="expression" dxfId="672" priority="32">
      <formula>$S31="Jenne, Richard"</formula>
    </cfRule>
    <cfRule type="expression" dxfId="671" priority="31">
      <formula>$S31="Benzick, Sue"</formula>
    </cfRule>
    <cfRule type="expression" dxfId="670" priority="33">
      <formula>$S31="McQueen, Jennifer"</formula>
    </cfRule>
  </conditionalFormatting>
  <conditionalFormatting sqref="I33">
    <cfRule type="expression" dxfId="669" priority="40">
      <formula>$S33="Benzick, Sue"</formula>
    </cfRule>
    <cfRule type="expression" dxfId="668" priority="41">
      <formula>$S33="Jenne, Richard"</formula>
    </cfRule>
    <cfRule type="expression" dxfId="667" priority="42">
      <formula>$S33="McQueen, Jennifer"</formula>
    </cfRule>
  </conditionalFormatting>
  <conditionalFormatting sqref="I39">
    <cfRule type="expression" dxfId="666" priority="97">
      <formula>$S39="Benzick, Sue"</formula>
    </cfRule>
    <cfRule type="expression" dxfId="665" priority="98">
      <formula>$S39="Jenne, Richard"</formula>
    </cfRule>
    <cfRule type="expression" dxfId="664" priority="99">
      <formula>$S39="McQueen, Jennifer"</formula>
    </cfRule>
  </conditionalFormatting>
  <conditionalFormatting sqref="I41">
    <cfRule type="expression" dxfId="663" priority="30">
      <formula>$S41="McQueen, Jennifer"</formula>
    </cfRule>
    <cfRule type="expression" dxfId="662" priority="28">
      <formula>$S41="Benzick, Sue"</formula>
    </cfRule>
    <cfRule type="expression" dxfId="661" priority="29">
      <formula>$S41="Jenne, Richard"</formula>
    </cfRule>
  </conditionalFormatting>
  <conditionalFormatting sqref="I52:I53 I58:I60">
    <cfRule type="expression" dxfId="660" priority="213">
      <formula>#REF!="McQueen, Jennifer"</formula>
    </cfRule>
    <cfRule type="expression" dxfId="659" priority="211">
      <formula>#REF!="Benzick, Sue"</formula>
    </cfRule>
    <cfRule type="expression" dxfId="658" priority="212">
      <formula>#REF!="Jenne, Richard"</formula>
    </cfRule>
  </conditionalFormatting>
  <conditionalFormatting sqref="I66:I67 I70 I73:I74">
    <cfRule type="expression" dxfId="657" priority="196">
      <formula>#REF!="Benzick, Sue"</formula>
    </cfRule>
    <cfRule type="expression" dxfId="656" priority="198">
      <formula>#REF!="McQueen, Jennifer"</formula>
    </cfRule>
    <cfRule type="expression" dxfId="655" priority="197">
      <formula>#REF!="Jenne, Richard"</formula>
    </cfRule>
  </conditionalFormatting>
  <conditionalFormatting sqref="I28:M29 I30 K34:N34 I34:I36">
    <cfRule type="expression" dxfId="654" priority="57">
      <formula>#REF!="McQueen, Jennifer"</formula>
    </cfRule>
    <cfRule type="expression" dxfId="653" priority="56">
      <formula>#REF!="Jenne, Richard"</formula>
    </cfRule>
    <cfRule type="expression" dxfId="652" priority="55">
      <formula>#REF!="Benzick, Sue"</formula>
    </cfRule>
  </conditionalFormatting>
  <conditionalFormatting sqref="I15:N15 I16 I37:M37 J43:N43 K45:N47">
    <cfRule type="expression" dxfId="651" priority="147">
      <formula>#REF!="McQueen, Jennifer"</formula>
    </cfRule>
    <cfRule type="expression" dxfId="650" priority="146">
      <formula>#REF!="Jenne, Richard"</formula>
    </cfRule>
    <cfRule type="expression" dxfId="649" priority="145">
      <formula>#REF!="Benzick, Sue"</formula>
    </cfRule>
  </conditionalFormatting>
  <conditionalFormatting sqref="I54:N57">
    <cfRule type="expression" dxfId="648" priority="184">
      <formula>#REF!="Benzick, Sue"</formula>
    </cfRule>
    <cfRule type="expression" dxfId="647" priority="185">
      <formula>#REF!="Jenne, Richard"</formula>
    </cfRule>
    <cfRule type="expression" dxfId="646" priority="186">
      <formula>#REF!="McQueen, Jennifer"</formula>
    </cfRule>
  </conditionalFormatting>
  <conditionalFormatting sqref="J9">
    <cfRule type="expression" dxfId="645" priority="7">
      <formula>$S9="Benzick, Sue"</formula>
    </cfRule>
    <cfRule type="expression" dxfId="644" priority="9">
      <formula>$S9="McQueen, Jennifer"</formula>
    </cfRule>
    <cfRule type="expression" dxfId="643" priority="8">
      <formula>$S9="Jenne, Richard"</formula>
    </cfRule>
  </conditionalFormatting>
  <conditionalFormatting sqref="J34">
    <cfRule type="expression" dxfId="642" priority="37">
      <formula>$S34="Benzick, Sue"</formula>
    </cfRule>
    <cfRule type="expression" dxfId="641" priority="38">
      <formula>$S34="Jenne, Richard"</formula>
    </cfRule>
    <cfRule type="expression" dxfId="640" priority="39">
      <formula>$S34="McQueen, Jennifer"</formula>
    </cfRule>
  </conditionalFormatting>
  <conditionalFormatting sqref="J41">
    <cfRule type="expression" dxfId="639" priority="143">
      <formula>#REF!="Jenne, Richard"</formula>
    </cfRule>
    <cfRule type="expression" dxfId="638" priority="142">
      <formula>#REF!="Benzick, Sue"</formula>
    </cfRule>
    <cfRule type="expression" dxfId="637" priority="144">
      <formula>#REF!="McQueen, Jennifer"</formula>
    </cfRule>
  </conditionalFormatting>
  <conditionalFormatting sqref="J45:J47">
    <cfRule type="expression" dxfId="636" priority="34">
      <formula>$S45="Benzick, Sue"</formula>
    </cfRule>
    <cfRule type="expression" dxfId="635" priority="35">
      <formula>$S45="Jenne, Richard"</formula>
    </cfRule>
    <cfRule type="expression" dxfId="634" priority="36">
      <formula>$S45="McQueen, Jennifer"</formula>
    </cfRule>
  </conditionalFormatting>
  <conditionalFormatting sqref="J4:N6 J8:N8 K9:N9">
    <cfRule type="expression" dxfId="633" priority="150">
      <formula>$S4="McQueen, Jennifer"</formula>
    </cfRule>
    <cfRule type="expression" dxfId="632" priority="149">
      <formula>$S4="Jenne, Richard"</formula>
    </cfRule>
    <cfRule type="expression" dxfId="631" priority="148">
      <formula>$S4="Benzick, Sue"</formula>
    </cfRule>
  </conditionalFormatting>
  <conditionalFormatting sqref="J16:N16">
    <cfRule type="expression" dxfId="630" priority="127">
      <formula>$S16="Benzick, Sue"</formula>
    </cfRule>
    <cfRule type="expression" dxfId="629" priority="128">
      <formula>$S16="Jenne, Richard"</formula>
    </cfRule>
    <cfRule type="expression" dxfId="628" priority="129">
      <formula>$S16="McQueen, Jennifer"</formula>
    </cfRule>
  </conditionalFormatting>
  <conditionalFormatting sqref="J17:N17">
    <cfRule type="expression" dxfId="627" priority="152">
      <formula>$X17="Jenne, Richard"</formula>
    </cfRule>
    <cfRule type="expression" dxfId="626" priority="151">
      <formula>$X17="Benzick, Sue"</formula>
    </cfRule>
    <cfRule type="expression" dxfId="625" priority="153">
      <formula>$X17="McQueen, Jennifer"</formula>
    </cfRule>
  </conditionalFormatting>
  <conditionalFormatting sqref="J25:N25">
    <cfRule type="expression" dxfId="624" priority="58">
      <formula>$S25="Benzick, Sue"</formula>
    </cfRule>
    <cfRule type="expression" dxfId="623" priority="59">
      <formula>$S25="Jenne, Richard"</formula>
    </cfRule>
    <cfRule type="expression" dxfId="622" priority="60">
      <formula>$S25="McQueen, Jennifer"</formula>
    </cfRule>
  </conditionalFormatting>
  <conditionalFormatting sqref="J26:N27">
    <cfRule type="expression" dxfId="621" priority="53">
      <formula>$X26="Jenne, Richard"</formula>
    </cfRule>
    <cfRule type="expression" dxfId="620" priority="52">
      <formula>$X26="Benzick, Sue"</formula>
    </cfRule>
    <cfRule type="expression" dxfId="619" priority="54">
      <formula>$X26="McQueen, Jennifer"</formula>
    </cfRule>
  </conditionalFormatting>
  <conditionalFormatting sqref="K41">
    <cfRule type="expression" dxfId="618" priority="141">
      <formula>#REF!="McQueen, Jennifer"</formula>
    </cfRule>
    <cfRule type="expression" dxfId="617" priority="140">
      <formula>#REF!="Jenne, Richard"</formula>
    </cfRule>
    <cfRule type="expression" dxfId="616" priority="139">
      <formula>#REF!="Benzick, Sue"</formula>
    </cfRule>
  </conditionalFormatting>
  <conditionalFormatting sqref="L30:L31">
    <cfRule type="expression" dxfId="615" priority="46">
      <formula>$S30="Benzick, Sue"</formula>
    </cfRule>
    <cfRule type="expression" dxfId="614" priority="47">
      <formula>$S30="Jenne, Richard"</formula>
    </cfRule>
    <cfRule type="expression" dxfId="613" priority="48">
      <formula>$S30="McQueen, Jennifer"</formula>
    </cfRule>
  </conditionalFormatting>
  <conditionalFormatting sqref="L41">
    <cfRule type="expression" dxfId="612" priority="138">
      <formula>#REF!="McQueen, Jennifer"</formula>
    </cfRule>
    <cfRule type="expression" dxfId="611" priority="137">
      <formula>#REF!="Jenne, Richard"</formula>
    </cfRule>
    <cfRule type="expression" dxfId="610" priority="136">
      <formula>#REF!="Benzick, Sue"</formula>
    </cfRule>
  </conditionalFormatting>
  <conditionalFormatting sqref="M32">
    <cfRule type="expression" dxfId="609" priority="44">
      <formula>$S32="Jenne, Richard"</formula>
    </cfRule>
    <cfRule type="expression" dxfId="608" priority="45">
      <formula>$S32="McQueen, Jennifer"</formula>
    </cfRule>
    <cfRule type="expression" dxfId="607" priority="43">
      <formula>$S32="Benzick, Sue"</formula>
    </cfRule>
  </conditionalFormatting>
  <conditionalFormatting sqref="M41">
    <cfRule type="expression" dxfId="606" priority="135">
      <formula>#REF!="McQueen, Jennifer"</formula>
    </cfRule>
    <cfRule type="expression" dxfId="605" priority="133">
      <formula>#REF!="Benzick, Sue"</formula>
    </cfRule>
    <cfRule type="expression" dxfId="604" priority="134">
      <formula>#REF!="Jenne, Richard"</formula>
    </cfRule>
  </conditionalFormatting>
  <conditionalFormatting sqref="N37">
    <cfRule type="expression" dxfId="603" priority="101">
      <formula>$S37="Jenne, Richard"</formula>
    </cfRule>
    <cfRule type="expression" dxfId="602" priority="102">
      <formula>$S37="McQueen, Jennifer"</formula>
    </cfRule>
    <cfRule type="expression" dxfId="601" priority="100">
      <formula>$S37="Benzick, Sue"</formula>
    </cfRule>
  </conditionalFormatting>
  <conditionalFormatting sqref="N40">
    <cfRule type="expression" dxfId="600" priority="94">
      <formula>$S40="Benzick, Sue"</formula>
    </cfRule>
    <cfRule type="expression" dxfId="599" priority="95">
      <formula>$S40="Jenne, Richard"</formula>
    </cfRule>
    <cfRule type="expression" dxfId="598" priority="96">
      <formula>$S40="McQueen, Jennifer"</formula>
    </cfRule>
  </conditionalFormatting>
  <conditionalFormatting sqref="N41">
    <cfRule type="expression" dxfId="597" priority="131">
      <formula>#REF!="Jenne, Richard"</formula>
    </cfRule>
    <cfRule type="expression" dxfId="596" priority="132">
      <formula>#REF!="McQueen, Jennifer"</formula>
    </cfRule>
    <cfRule type="expression" dxfId="595" priority="130">
      <formula>#REF!="Benzick, Sue"</formula>
    </cfRule>
  </conditionalFormatting>
  <conditionalFormatting sqref="T4:T47 K7:N7 A10 J10:N14 S10:S15 S17:S28 A28 N28 H29:I29 S31:S43 E35 L36 L38 L42 S45:S47 E46:E47 A48 S48:T67 J49:N49 J52:N52 J58:N60 J62:N62 T68 S69:T86 A74 J79:N79 E85:G86 E88:G88 S88:T88 J88:N89 E89 S89:S90 T89:T96 F90:G90 K90 M90:N90 F92:G96 S92:S96 J96:N97 F97:F98 S97:T112 E102:F102 E104:E112 I104:I112 T113">
    <cfRule type="expression" dxfId="594" priority="235">
      <formula>$S4="Benzick, Sue"</formula>
    </cfRule>
    <cfRule type="expression" dxfId="593" priority="236">
      <formula>$S4="Jenne, Richard"</formula>
    </cfRule>
    <cfRule type="expression" dxfId="592" priority="237">
      <formula>$S4="McQueen, Jennifer"</formula>
    </cfRule>
  </conditionalFormatting>
  <conditionalFormatting sqref="W4:W15 Y4:Y86 W17:W28 W31:W43 W45:W67 W69:W86 W88:W108 Y88:Y113">
    <cfRule type="expression" dxfId="591" priority="238">
      <formula>$X4="Benzick, Sue"</formula>
    </cfRule>
    <cfRule type="expression" dxfId="590" priority="239">
      <formula>$X4="Jenne, Richard"</formula>
    </cfRule>
    <cfRule type="expression" dxfId="589" priority="240">
      <formula>$X4="McQueen, Jennifer"</formula>
    </cfRule>
  </conditionalFormatting>
  <dataValidations count="3">
    <dataValidation allowBlank="1" showInputMessage="1" showErrorMessage="1" sqref="S88:S113 S4:S86" xr:uid="{F53FA255-9224-4ADF-A230-E84DC8EC89C5}"/>
    <dataValidation type="list" allowBlank="1" showInputMessage="1" showErrorMessage="1" sqref="B164:B170 B172:B442 B4:B162" xr:uid="{73CB25B1-9935-4559-84D6-2CD89F18B02A}">
      <formula1>Class</formula1>
    </dataValidation>
    <dataValidation type="list" allowBlank="1" showInputMessage="1" showErrorMessage="1" sqref="O164:O386" xr:uid="{FFCAD722-D837-4CC2-9C77-BDB70A788B8F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1335-9BC5-4571-85CE-C5CFC6D0D6A3}">
  <dimension ref="A1:Y16"/>
  <sheetViews>
    <sheetView workbookViewId="0">
      <pane xSplit="1" topLeftCell="B1" activePane="topRight" state="frozen"/>
      <selection pane="topRight" activeCell="S8" sqref="S8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490</v>
      </c>
    </row>
    <row r="3" spans="1:25" x14ac:dyDescent="0.25">
      <c r="A3" t="s">
        <v>384</v>
      </c>
      <c r="B3" t="s">
        <v>385</v>
      </c>
      <c r="C3" t="s">
        <v>41</v>
      </c>
      <c r="D3" t="s">
        <v>42</v>
      </c>
      <c r="E3" t="s">
        <v>386</v>
      </c>
      <c r="F3" t="s">
        <v>44</v>
      </c>
      <c r="G3" t="s">
        <v>45</v>
      </c>
      <c r="H3" t="s">
        <v>46</v>
      </c>
      <c r="I3" t="s">
        <v>387</v>
      </c>
      <c r="J3" t="s">
        <v>388</v>
      </c>
      <c r="K3" t="s">
        <v>56</v>
      </c>
      <c r="L3" t="s">
        <v>48</v>
      </c>
      <c r="M3" t="s">
        <v>389</v>
      </c>
      <c r="N3" t="s">
        <v>390</v>
      </c>
      <c r="O3" t="s">
        <v>391</v>
      </c>
      <c r="P3" t="s">
        <v>392</v>
      </c>
      <c r="Q3" t="s">
        <v>393</v>
      </c>
      <c r="R3" t="s">
        <v>394</v>
      </c>
      <c r="S3" t="s">
        <v>395</v>
      </c>
      <c r="T3" t="s">
        <v>396</v>
      </c>
      <c r="U3" t="s">
        <v>397</v>
      </c>
      <c r="V3" t="s">
        <v>398</v>
      </c>
      <c r="W3" t="s">
        <v>53</v>
      </c>
      <c r="X3" t="s">
        <v>399</v>
      </c>
      <c r="Y3" t="s">
        <v>400</v>
      </c>
    </row>
    <row r="4" spans="1:25" x14ac:dyDescent="0.25">
      <c r="A4" t="s">
        <v>401</v>
      </c>
      <c r="B4" t="s">
        <v>171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422</v>
      </c>
      <c r="B5" t="s">
        <v>171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1</v>
      </c>
      <c r="K5">
        <v>1</v>
      </c>
      <c r="L5">
        <v>0</v>
      </c>
      <c r="M5">
        <v>0</v>
      </c>
      <c r="N5">
        <v>1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6</v>
      </c>
      <c r="V5">
        <v>0</v>
      </c>
      <c r="W5">
        <v>3</v>
      </c>
      <c r="X5">
        <v>2</v>
      </c>
      <c r="Y5">
        <v>16</v>
      </c>
    </row>
    <row r="6" spans="1:25" x14ac:dyDescent="0.25">
      <c r="A6" t="s">
        <v>407</v>
      </c>
      <c r="B6" t="s">
        <v>171</v>
      </c>
      <c r="I6">
        <v>2</v>
      </c>
      <c r="P6">
        <v>1</v>
      </c>
      <c r="Q6">
        <v>3</v>
      </c>
      <c r="R6">
        <v>1</v>
      </c>
      <c r="V6">
        <v>3</v>
      </c>
      <c r="Y6">
        <v>10</v>
      </c>
    </row>
    <row r="7" spans="1:25" x14ac:dyDescent="0.25">
      <c r="A7" t="s">
        <v>412</v>
      </c>
      <c r="B7" t="s">
        <v>171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0</v>
      </c>
      <c r="Q7">
        <v>2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22</v>
      </c>
    </row>
    <row r="8" spans="1:25" x14ac:dyDescent="0.25">
      <c r="A8" t="s">
        <v>402</v>
      </c>
      <c r="B8" t="s">
        <v>171</v>
      </c>
      <c r="I8">
        <v>4</v>
      </c>
      <c r="J8">
        <v>2</v>
      </c>
      <c r="O8">
        <v>1</v>
      </c>
      <c r="P8">
        <v>4</v>
      </c>
      <c r="Q8">
        <v>28</v>
      </c>
      <c r="R8">
        <v>15</v>
      </c>
      <c r="S8">
        <v>17</v>
      </c>
      <c r="T8">
        <v>17</v>
      </c>
      <c r="V8">
        <v>1</v>
      </c>
      <c r="W8">
        <v>1</v>
      </c>
      <c r="Y8">
        <v>90</v>
      </c>
    </row>
    <row r="9" spans="1:25" x14ac:dyDescent="0.25">
      <c r="A9" t="s">
        <v>403</v>
      </c>
      <c r="B9" t="s">
        <v>171</v>
      </c>
      <c r="Y9">
        <v>0</v>
      </c>
    </row>
    <row r="10" spans="1:25" x14ac:dyDescent="0.25">
      <c r="A10" t="s">
        <v>404</v>
      </c>
      <c r="B10" t="s">
        <v>171</v>
      </c>
      <c r="Y10">
        <v>0</v>
      </c>
    </row>
    <row r="11" spans="1:25" x14ac:dyDescent="0.25">
      <c r="A11" t="s">
        <v>405</v>
      </c>
      <c r="B11" t="s">
        <v>171</v>
      </c>
      <c r="Y11">
        <v>0</v>
      </c>
    </row>
    <row r="12" spans="1:25" x14ac:dyDescent="0.25">
      <c r="A12" t="s">
        <v>406</v>
      </c>
      <c r="B12" t="s">
        <v>171</v>
      </c>
      <c r="Y12">
        <v>0</v>
      </c>
    </row>
    <row r="13" spans="1:25" x14ac:dyDescent="0.25">
      <c r="A13" t="s">
        <v>408</v>
      </c>
      <c r="B13" t="s">
        <v>171</v>
      </c>
      <c r="Y13">
        <v>0</v>
      </c>
    </row>
    <row r="14" spans="1:25" x14ac:dyDescent="0.25">
      <c r="A14" t="s">
        <v>409</v>
      </c>
      <c r="B14" t="s">
        <v>171</v>
      </c>
      <c r="Y14">
        <v>0</v>
      </c>
    </row>
    <row r="15" spans="1:25" x14ac:dyDescent="0.25">
      <c r="A15" t="s">
        <v>410</v>
      </c>
      <c r="B15" t="s">
        <v>171</v>
      </c>
      <c r="Y15">
        <v>0</v>
      </c>
    </row>
    <row r="16" spans="1:25" x14ac:dyDescent="0.25">
      <c r="A16" t="s">
        <v>411</v>
      </c>
      <c r="B16" t="s">
        <v>171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pageSetUpPr fitToPage="1"/>
  </sheetPr>
  <dimension ref="B1:AA43"/>
  <sheetViews>
    <sheetView showGridLines="0" zoomScale="80" zoomScaleNormal="80" workbookViewId="0">
      <pane xSplit="9" ySplit="4" topLeftCell="J5" activePane="bottomRight" state="frozen"/>
      <selection pane="topRight"/>
      <selection pane="bottomLeft"/>
      <selection pane="bottomRight" activeCell="B1" sqref="B1"/>
    </sheetView>
  </sheetViews>
  <sheetFormatPr defaultColWidth="9.140625" defaultRowHeight="15" customHeight="1" x14ac:dyDescent="0.25"/>
  <cols>
    <col min="1" max="1" width="10.140625" bestFit="1" customWidth="1"/>
    <col min="2" max="2" width="39.5703125" customWidth="1"/>
    <col min="3" max="3" width="7.5703125" customWidth="1"/>
    <col min="4" max="4" width="13.5703125" customWidth="1"/>
    <col min="5" max="5" width="11.140625" customWidth="1"/>
    <col min="6" max="6" width="9.140625" customWidth="1"/>
    <col min="7" max="7" width="9.85546875" customWidth="1"/>
    <col min="8" max="8" width="10.140625" customWidth="1"/>
    <col min="9" max="9" width="12" customWidth="1"/>
    <col min="10" max="10" width="9.85546875" customWidth="1"/>
    <col min="11" max="11" width="8.28515625" customWidth="1"/>
    <col min="12" max="14" width="9.7109375" customWidth="1"/>
    <col min="15" max="15" width="7.42578125" customWidth="1"/>
    <col min="16" max="17" width="9.28515625" customWidth="1"/>
    <col min="18" max="18" width="17.28515625" customWidth="1"/>
    <col min="19" max="19" width="16.28515625" customWidth="1"/>
    <col min="20" max="20" width="10.7109375" customWidth="1"/>
    <col min="21" max="21" width="17.5703125" customWidth="1"/>
    <col min="22" max="22" width="12.5703125" customWidth="1"/>
    <col min="23" max="23" width="13.28515625" customWidth="1"/>
    <col min="24" max="24" width="10.5703125" customWidth="1"/>
    <col min="25" max="25" width="22.7109375" customWidth="1"/>
    <col min="26" max="26" width="21.7109375" customWidth="1"/>
    <col min="27" max="27" width="27.140625" customWidth="1"/>
  </cols>
  <sheetData>
    <row r="1" spans="2:27" x14ac:dyDescent="0.25">
      <c r="B1" s="18"/>
      <c r="C1" s="17"/>
      <c r="D1" s="17"/>
      <c r="E1" s="17"/>
      <c r="F1" s="17"/>
      <c r="G1" s="3"/>
      <c r="H1" s="17"/>
      <c r="I1" s="17"/>
      <c r="J1" s="19"/>
      <c r="K1" s="17"/>
      <c r="L1" s="17"/>
      <c r="M1" s="17"/>
      <c r="N1" s="17"/>
      <c r="O1" s="17"/>
      <c r="P1" s="17"/>
      <c r="Q1" s="17"/>
      <c r="R1" s="17"/>
      <c r="S1" s="17"/>
      <c r="T1" s="2"/>
      <c r="U1" s="20"/>
      <c r="V1" s="20"/>
      <c r="W1" s="20"/>
      <c r="X1" s="20"/>
      <c r="Y1" s="17"/>
      <c r="Z1" s="17"/>
      <c r="AA1" s="17"/>
    </row>
    <row r="2" spans="2:27" x14ac:dyDescent="0.25">
      <c r="B2" s="305"/>
      <c r="C2" s="17"/>
      <c r="D2" s="17"/>
      <c r="E2" s="17"/>
      <c r="F2" s="17"/>
      <c r="G2" s="17"/>
      <c r="H2" s="17"/>
      <c r="I2" s="17"/>
      <c r="J2" s="19"/>
      <c r="K2" s="17"/>
      <c r="L2" s="17"/>
      <c r="M2" s="17"/>
      <c r="N2" s="17"/>
      <c r="O2" s="17"/>
      <c r="P2" s="17"/>
      <c r="Q2" s="17"/>
      <c r="R2" s="17"/>
      <c r="S2" s="17"/>
      <c r="T2" s="17"/>
      <c r="U2" s="20"/>
      <c r="V2" s="20"/>
      <c r="W2" s="20"/>
      <c r="X2" s="20"/>
      <c r="Y2" s="17"/>
      <c r="Z2" s="17"/>
      <c r="AA2" s="17"/>
    </row>
    <row r="3" spans="2:27" ht="15.75" x14ac:dyDescent="0.25">
      <c r="B3" s="534" t="s">
        <v>491</v>
      </c>
      <c r="C3" s="535"/>
      <c r="D3" s="535"/>
      <c r="E3" s="535"/>
      <c r="F3" s="535"/>
      <c r="G3" s="535"/>
      <c r="H3" s="535"/>
      <c r="I3" s="535"/>
      <c r="J3" s="535"/>
      <c r="K3" s="536" t="s">
        <v>492</v>
      </c>
      <c r="L3" s="537"/>
      <c r="M3" s="537"/>
      <c r="N3" s="537"/>
      <c r="O3" s="538"/>
      <c r="P3" s="538"/>
      <c r="Q3" s="538"/>
      <c r="R3" s="538"/>
      <c r="S3" s="538"/>
      <c r="T3" s="538"/>
      <c r="U3" s="538"/>
      <c r="V3" s="528"/>
      <c r="W3" s="47"/>
      <c r="X3" s="539" t="s">
        <v>493</v>
      </c>
      <c r="Y3" s="539"/>
      <c r="Z3" s="539"/>
      <c r="AA3" s="540"/>
    </row>
    <row r="4" spans="2:27" ht="105" x14ac:dyDescent="0.25">
      <c r="B4" s="21" t="s">
        <v>2</v>
      </c>
      <c r="C4" s="22" t="s">
        <v>3</v>
      </c>
      <c r="D4" s="22" t="s">
        <v>4</v>
      </c>
      <c r="E4" s="22" t="s">
        <v>494</v>
      </c>
      <c r="F4" s="22" t="s">
        <v>495</v>
      </c>
      <c r="G4" s="22" t="s">
        <v>496</v>
      </c>
      <c r="H4" s="22" t="s">
        <v>497</v>
      </c>
      <c r="I4" s="22" t="s">
        <v>498</v>
      </c>
      <c r="J4" s="43" t="s">
        <v>499</v>
      </c>
      <c r="K4" s="48" t="s">
        <v>11</v>
      </c>
      <c r="L4" s="304" t="s">
        <v>500</v>
      </c>
      <c r="M4" s="304" t="s">
        <v>501</v>
      </c>
      <c r="N4" s="304" t="s">
        <v>502</v>
      </c>
      <c r="O4" s="44" t="s">
        <v>13</v>
      </c>
      <c r="P4" s="44" t="s">
        <v>503</v>
      </c>
      <c r="Q4" s="44" t="s">
        <v>504</v>
      </c>
      <c r="R4" s="45" t="s">
        <v>505</v>
      </c>
      <c r="S4" s="45" t="s">
        <v>506</v>
      </c>
      <c r="T4" s="45" t="s">
        <v>507</v>
      </c>
      <c r="U4" s="46" t="s">
        <v>508</v>
      </c>
      <c r="V4" s="46" t="s">
        <v>509</v>
      </c>
      <c r="W4" s="49" t="s">
        <v>510</v>
      </c>
      <c r="X4" s="33" t="s">
        <v>511</v>
      </c>
      <c r="Y4" s="23" t="s">
        <v>512</v>
      </c>
      <c r="Z4" s="23" t="s">
        <v>513</v>
      </c>
      <c r="AA4" s="24" t="s">
        <v>425</v>
      </c>
    </row>
    <row r="5" spans="2:27" ht="31.5" x14ac:dyDescent="0.25">
      <c r="B5" s="51" t="s">
        <v>15</v>
      </c>
      <c r="C5" s="37"/>
      <c r="D5" s="37" t="s">
        <v>85</v>
      </c>
      <c r="E5" s="37">
        <f>COUNTIF(Table2[Course Title],Table311[[#This Row],[Courses - Planned vs Need (Active Courses)]])</f>
        <v>9</v>
      </c>
      <c r="F5" s="52">
        <v>45</v>
      </c>
      <c r="G5" s="37">
        <f>Table311[[#This Row],[Course Offerings]]*Table311[[#This Row],[Quota per Offering]]</f>
        <v>405</v>
      </c>
      <c r="H5" s="349">
        <v>337</v>
      </c>
      <c r="I5" s="37">
        <f t="shared" ref="I5:I42" si="0">SUM(G5-H5)</f>
        <v>68</v>
      </c>
      <c r="J5" s="40">
        <f t="shared" ref="J5:J39" si="1">SUM(G5/H5)</f>
        <v>1.2017804154302671</v>
      </c>
      <c r="K5" s="38">
        <f>SUMIF(Table2[Course Title],Table311[[#This Row],[Courses - Planned vs Need (Active Courses)]],Table2[Graduates])</f>
        <v>120</v>
      </c>
      <c r="L5" s="38">
        <f>SUMIF(Table2[Course Title],Table311[[#This Row],[Courses - Planned vs Need (Active Courses)]],Table2[Registered])</f>
        <v>209</v>
      </c>
      <c r="M5" s="38">
        <f>SUMIF(Table2[Course Title],Table311[[#This Row],[Courses - Planned vs Need (Active Courses)]],Table2[Waitlisted])</f>
        <v>0</v>
      </c>
      <c r="N5" s="38">
        <f>SUMIF(Table2[Course Title],Table311[[#This Row],[Courses - Planned vs Need (Active Courses)]],Table2[Walk-ins])</f>
        <v>1</v>
      </c>
      <c r="O5" s="39">
        <f>SUMIF(Table2[Course Title],Table311[[#This Row],[Courses - Planned vs Need (Active Courses)]],Table2[No Shows])</f>
        <v>21</v>
      </c>
      <c r="P5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122</v>
      </c>
      <c r="Q5" s="41">
        <f>ROUNDDOWN(Table311[[#This Row],[To date quotas unused (Open quotas+ no shows)]]/Table311[[#This Row],[Quota per Offering]],0)</f>
        <v>2</v>
      </c>
      <c r="R5" s="39">
        <f t="shared" ref="R5:R42" si="2">SUM(G5-K5)</f>
        <v>285</v>
      </c>
      <c r="S5" s="41">
        <f ca="1">COUNTIFS(Table2[Course Title],Table311[[#This Row],[Courses - Planned vs Need (Active Courses)]],Table2[Roster Status],"1",Table2[Remaining Courses],"0")</f>
        <v>0</v>
      </c>
      <c r="T5" s="41">
        <f ca="1">COUNTIFS(Table2[Course Title],Table311[[#This Row],[Courses - Planned vs Need (Active Courses)]],Table2[Remaining Courses],"1")</f>
        <v>4</v>
      </c>
      <c r="U5" s="42">
        <f t="shared" ref="U5:U39" si="3">SUM(K5/H5)</f>
        <v>0.35608308605341249</v>
      </c>
      <c r="V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0.45777777777777778</v>
      </c>
      <c r="W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0.90666666666666662</v>
      </c>
      <c r="X5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106</v>
      </c>
      <c r="Y5" s="41">
        <f t="shared" ref="Y5:Y42" ca="1" si="4">SUM(S5,T5)*F5</f>
        <v>180</v>
      </c>
      <c r="Z5" s="41">
        <f>Table311[[#This Row],[Fleet Quota Need]]-Table311[[#This Row],[Total Grads]]</f>
        <v>217</v>
      </c>
      <c r="AA5" s="26"/>
    </row>
    <row r="6" spans="2:27" ht="15.75" x14ac:dyDescent="0.25">
      <c r="B6" s="51" t="s">
        <v>89</v>
      </c>
      <c r="C6" s="37"/>
      <c r="D6" s="37" t="s">
        <v>90</v>
      </c>
      <c r="E6" s="37">
        <f>COUNTIF(Table2[Course Title],Table311[[#This Row],[Courses - Planned vs Need (Active Courses)]])</f>
        <v>3</v>
      </c>
      <c r="F6" s="37">
        <v>25</v>
      </c>
      <c r="G6" s="37">
        <f>Table311[[#This Row],[Course Offerings]]*Table311[[#This Row],[Quota per Offering]]</f>
        <v>75</v>
      </c>
      <c r="H6" s="349">
        <v>325</v>
      </c>
      <c r="I6" s="37">
        <f t="shared" si="0"/>
        <v>-250</v>
      </c>
      <c r="J6" s="40">
        <f t="shared" si="1"/>
        <v>0.23076923076923078</v>
      </c>
      <c r="K6" s="38">
        <f>SUMIF(Table2[Course Title],Table311[[#This Row],[Courses - Planned vs Need (Active Courses)]],Table2[Graduates])</f>
        <v>11</v>
      </c>
      <c r="L6" s="70">
        <f>SUMIF(Table2[Course Title],Table311[[#This Row],[Courses - Planned vs Need (Active Courses)]],Table2[Registered])</f>
        <v>49</v>
      </c>
      <c r="M6" s="70">
        <f>SUMIF(Table2[Course Title],Table311[[#This Row],[Courses - Planned vs Need (Active Courses)]],Table2[Waitlisted])</f>
        <v>0</v>
      </c>
      <c r="N6" s="70">
        <f>SUMIF(Table2[Course Title],Table311[[#This Row],[Courses - Planned vs Need (Active Courses)]],Table2[Walk-ins])</f>
        <v>0</v>
      </c>
      <c r="O6" s="39">
        <f>SUMIF(Table2[Course Title],Table311[[#This Row],[Courses - Planned vs Need (Active Courses)]],Table2[No Shows])</f>
        <v>1</v>
      </c>
      <c r="P6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40</v>
      </c>
      <c r="Q6" s="41">
        <f>ROUNDDOWN(Table311[[#This Row],[To date quotas unused (Open quotas+ no shows)]]/Table311[[#This Row],[Quota per Offering]],0)</f>
        <v>1</v>
      </c>
      <c r="R6" s="39">
        <f t="shared" si="2"/>
        <v>64</v>
      </c>
      <c r="S6" s="41">
        <f ca="1">COUNTIFS(Table2[Course Title],Table311[[#This Row],[Courses - Planned vs Need (Active Courses)]],Table2[Roster Status],"1",Table2[Remaining Courses],"0")</f>
        <v>0</v>
      </c>
      <c r="T6" s="41">
        <f ca="1">COUNTIFS(Table2[Course Title],Table311[[#This Row],[Courses - Planned vs Need (Active Courses)]],Table2[Remaining Courses],"1")</f>
        <v>1</v>
      </c>
      <c r="U6" s="42">
        <f t="shared" si="3"/>
        <v>3.3846153846153845E-2</v>
      </c>
      <c r="V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</v>
      </c>
      <c r="W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0.98</v>
      </c>
      <c r="X6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11</v>
      </c>
      <c r="Y6" s="41">
        <f t="shared" ca="1" si="4"/>
        <v>25</v>
      </c>
      <c r="Z6" s="41">
        <f>Table311[[#This Row],[Fleet Quota Need]]-Table311[[#This Row],[Total Grads]]</f>
        <v>314</v>
      </c>
      <c r="AA6" s="26"/>
    </row>
    <row r="7" spans="2:27" ht="15.75" x14ac:dyDescent="0.25">
      <c r="B7" s="51" t="s">
        <v>42</v>
      </c>
      <c r="C7" s="37"/>
      <c r="D7" s="37" t="s">
        <v>90</v>
      </c>
      <c r="E7" s="37">
        <f>COUNTIF(Table2[Course Title],Table311[[#This Row],[Courses - Planned vs Need (Active Courses)]])</f>
        <v>3</v>
      </c>
      <c r="F7" s="37">
        <v>30</v>
      </c>
      <c r="G7" s="37">
        <f>Table311[[#This Row],[Course Offerings]]*Table311[[#This Row],[Quota per Offering]]</f>
        <v>90</v>
      </c>
      <c r="H7" s="349">
        <v>341</v>
      </c>
      <c r="I7" s="37">
        <f t="shared" si="0"/>
        <v>-251</v>
      </c>
      <c r="J7" s="40">
        <f t="shared" si="1"/>
        <v>0.26392961876832843</v>
      </c>
      <c r="K7" s="38">
        <f>SUMIF(Table2[Course Title],Table311[[#This Row],[Courses - Planned vs Need (Active Courses)]],Table2[Graduates])</f>
        <v>29</v>
      </c>
      <c r="L7" s="70">
        <f>SUMIF(Table2[Course Title],Table311[[#This Row],[Courses - Planned vs Need (Active Courses)]],Table2[Registered])</f>
        <v>41</v>
      </c>
      <c r="M7" s="70">
        <f>SUMIF(Table2[Course Title],Table311[[#This Row],[Courses - Planned vs Need (Active Courses)]],Table2[Waitlisted])</f>
        <v>1</v>
      </c>
      <c r="N7" s="70">
        <f>SUMIF(Table2[Course Title],Table311[[#This Row],[Courses - Planned vs Need (Active Courses)]],Table2[Walk-ins])</f>
        <v>0</v>
      </c>
      <c r="O7" s="39">
        <f>SUMIF(Table2[Course Title],Table311[[#This Row],[Courses - Planned vs Need (Active Courses)]],Table2[No Shows])</f>
        <v>1</v>
      </c>
      <c r="P7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</v>
      </c>
      <c r="Q7" s="41">
        <f>ROUNDDOWN(Table311[[#This Row],[To date quotas unused (Open quotas+ no shows)]]/Table311[[#This Row],[Quota per Offering]],0)</f>
        <v>0</v>
      </c>
      <c r="R7" s="39">
        <f t="shared" si="2"/>
        <v>61</v>
      </c>
      <c r="S7" s="41">
        <f ca="1">COUNTIFS(Table2[Course Title],Table311[[#This Row],[Courses - Planned vs Need (Active Courses)]],Table2[Roster Status],"1",Table2[Remaining Courses],"0")</f>
        <v>1</v>
      </c>
      <c r="T7" s="41">
        <f ca="1">COUNTIFS(Table2[Course Title],Table311[[#This Row],[Courses - Planned vs Need (Active Courses)]],Table2[Remaining Courses],"1")</f>
        <v>2</v>
      </c>
      <c r="U7" s="42">
        <f t="shared" si="3"/>
        <v>8.5043988269794715E-2</v>
      </c>
      <c r="V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7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49</v>
      </c>
      <c r="Y7" s="41">
        <f t="shared" ca="1" si="4"/>
        <v>90</v>
      </c>
      <c r="Z7" s="41">
        <f>Table311[[#This Row],[Fleet Quota Need]]-Table311[[#This Row],[Total Grads]]</f>
        <v>312</v>
      </c>
      <c r="AA7" s="26"/>
    </row>
    <row r="8" spans="2:27" ht="15.75" x14ac:dyDescent="0.25">
      <c r="B8" s="51" t="s">
        <v>93</v>
      </c>
      <c r="C8" s="37"/>
      <c r="D8" s="37" t="s">
        <v>90</v>
      </c>
      <c r="E8" s="37">
        <f>COUNTIF(Table2[Course Title],Table311[[#This Row],[Courses - Planned vs Need (Active Courses)]])</f>
        <v>2</v>
      </c>
      <c r="F8" s="37">
        <v>25</v>
      </c>
      <c r="G8" s="37">
        <f>Table311[[#This Row],[Course Offerings]]*Table311[[#This Row],[Quota per Offering]]</f>
        <v>50</v>
      </c>
      <c r="H8" s="349">
        <v>128</v>
      </c>
      <c r="I8" s="37">
        <f t="shared" si="0"/>
        <v>-78</v>
      </c>
      <c r="J8" s="40">
        <f t="shared" si="1"/>
        <v>0.390625</v>
      </c>
      <c r="K8" s="38">
        <f>SUMIF(Table2[Course Title],Table311[[#This Row],[Courses - Planned vs Need (Active Courses)]],Table2[Graduates])</f>
        <v>7</v>
      </c>
      <c r="L8" s="70">
        <f>SUMIF(Table2[Course Title],Table311[[#This Row],[Courses - Planned vs Need (Active Courses)]],Table2[Registered])</f>
        <v>16</v>
      </c>
      <c r="M8" s="70">
        <f>SUMIF(Table2[Course Title],Table311[[#This Row],[Courses - Planned vs Need (Active Courses)]],Table2[Waitlisted])</f>
        <v>0</v>
      </c>
      <c r="N8" s="70">
        <f>SUMIF(Table2[Course Title],Table311[[#This Row],[Courses - Planned vs Need (Active Courses)]],Table2[Walk-ins])</f>
        <v>1</v>
      </c>
      <c r="O8" s="39">
        <f>SUMIF(Table2[Course Title],Table311[[#This Row],[Courses - Planned vs Need (Active Courses)]],Table2[No Shows])</f>
        <v>0</v>
      </c>
      <c r="P8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18</v>
      </c>
      <c r="Q8" s="41">
        <f>ROUNDDOWN(Table311[[#This Row],[To date quotas unused (Open quotas+ no shows)]]/Table311[[#This Row],[Quota per Offering]],0)</f>
        <v>0</v>
      </c>
      <c r="R8" s="39">
        <f t="shared" si="2"/>
        <v>43</v>
      </c>
      <c r="S8" s="41">
        <f ca="1">COUNTIFS(Table2[Course Title],Table311[[#This Row],[Courses - Planned vs Need (Active Courses)]],Table2[Roster Status],"1",Table2[Remaining Courses],"0")</f>
        <v>0</v>
      </c>
      <c r="T8" s="41">
        <f ca="1">COUNTIFS(Table2[Course Title],Table311[[#This Row],[Courses - Planned vs Need (Active Courses)]],Table2[Remaining Courses],"1")</f>
        <v>1</v>
      </c>
      <c r="U8" s="42">
        <f t="shared" si="3"/>
        <v>5.46875E-2</v>
      </c>
      <c r="V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0.28000000000000003</v>
      </c>
      <c r="W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8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16</v>
      </c>
      <c r="Y8" s="41">
        <f t="shared" ca="1" si="4"/>
        <v>25</v>
      </c>
      <c r="Z8" s="41">
        <f>Table311[[#This Row],[Fleet Quota Need]]-Table311[[#This Row],[Total Grads]]</f>
        <v>121</v>
      </c>
      <c r="AA8" s="26"/>
    </row>
    <row r="9" spans="2:27" ht="31.5" x14ac:dyDescent="0.25">
      <c r="B9" s="51" t="s">
        <v>44</v>
      </c>
      <c r="C9" s="37"/>
      <c r="D9" s="37" t="s">
        <v>90</v>
      </c>
      <c r="E9" s="37">
        <f>COUNTIF(Table2[Course Title],Table311[[#This Row],[Courses - Planned vs Need (Active Courses)]])</f>
        <v>4</v>
      </c>
      <c r="F9" s="37">
        <v>30</v>
      </c>
      <c r="G9" s="37">
        <f>Table311[[#This Row],[Course Offerings]]*Table311[[#This Row],[Quota per Offering]]</f>
        <v>120</v>
      </c>
      <c r="H9" s="349">
        <v>171</v>
      </c>
      <c r="I9" s="37">
        <f t="shared" si="0"/>
        <v>-51</v>
      </c>
      <c r="J9" s="40">
        <f t="shared" si="1"/>
        <v>0.70175438596491224</v>
      </c>
      <c r="K9" s="38">
        <f>SUMIF(Table2[Course Title],Table311[[#This Row],[Courses - Planned vs Need (Active Courses)]],Table2[Graduates])</f>
        <v>31</v>
      </c>
      <c r="L9" s="70">
        <f>SUMIF(Table2[Course Title],Table311[[#This Row],[Courses - Planned vs Need (Active Courses)]],Table2[Registered])</f>
        <v>53</v>
      </c>
      <c r="M9" s="70">
        <f>SUMIF(Table2[Course Title],Table311[[#This Row],[Courses - Planned vs Need (Active Courses)]],Table2[Waitlisted])</f>
        <v>0</v>
      </c>
      <c r="N9" s="70">
        <f>SUMIF(Table2[Course Title],Table311[[#This Row],[Courses - Planned vs Need (Active Courses)]],Table2[Walk-ins])</f>
        <v>0</v>
      </c>
      <c r="O9" s="39">
        <f>SUMIF(Table2[Course Title],Table311[[#This Row],[Courses - Planned vs Need (Active Courses)]],Table2[No Shows])</f>
        <v>3</v>
      </c>
      <c r="P9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32</v>
      </c>
      <c r="Q9" s="41">
        <f>ROUNDDOWN(Table311[[#This Row],[To date quotas unused (Open quotas+ no shows)]]/Table311[[#This Row],[Quota per Offering]],0)</f>
        <v>1</v>
      </c>
      <c r="R9" s="39">
        <f t="shared" si="2"/>
        <v>89</v>
      </c>
      <c r="S9" s="41">
        <f ca="1">COUNTIFS(Table2[Course Title],Table311[[#This Row],[Courses - Planned vs Need (Active Courses)]],Table2[Roster Status],"1",Table2[Remaining Courses],"0")</f>
        <v>0</v>
      </c>
      <c r="T9" s="41">
        <f ca="1">COUNTIFS(Table2[Course Title],Table311[[#This Row],[Courses - Planned vs Need (Active Courses)]],Table2[Remaining Courses],"1")</f>
        <v>2</v>
      </c>
      <c r="U9" s="42">
        <f t="shared" si="3"/>
        <v>0.18128654970760233</v>
      </c>
      <c r="V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0.46666666666666667</v>
      </c>
      <c r="W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0.95</v>
      </c>
      <c r="X9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41</v>
      </c>
      <c r="Y9" s="41">
        <f t="shared" ca="1" si="4"/>
        <v>60</v>
      </c>
      <c r="Z9" s="41">
        <f>Table311[[#This Row],[Fleet Quota Need]]-Table311[[#This Row],[Total Grads]]</f>
        <v>140</v>
      </c>
      <c r="AA9" s="26"/>
    </row>
    <row r="10" spans="2:27" ht="15.75" x14ac:dyDescent="0.25">
      <c r="B10" s="51" t="s">
        <v>45</v>
      </c>
      <c r="C10" s="37"/>
      <c r="D10" s="37" t="s">
        <v>90</v>
      </c>
      <c r="E10" s="37">
        <f>COUNTIF(Table2[Course Title],Table311[[#This Row],[Courses - Planned vs Need (Active Courses)]])</f>
        <v>3</v>
      </c>
      <c r="F10" s="37">
        <v>25</v>
      </c>
      <c r="G10" s="37">
        <f>Table311[[#This Row],[Course Offerings]]*Table311[[#This Row],[Quota per Offering]]</f>
        <v>75</v>
      </c>
      <c r="H10" s="349">
        <v>197</v>
      </c>
      <c r="I10" s="37">
        <f t="shared" si="0"/>
        <v>-122</v>
      </c>
      <c r="J10" s="40">
        <f t="shared" si="1"/>
        <v>0.38071065989847713</v>
      </c>
      <c r="K10" s="38">
        <f>SUMIF(Table2[Course Title],Table311[[#This Row],[Courses - Planned vs Need (Active Courses)]],Table2[Graduates])</f>
        <v>6</v>
      </c>
      <c r="L10" s="70">
        <f>SUMIF(Table2[Course Title],Table311[[#This Row],[Courses - Planned vs Need (Active Courses)]],Table2[Registered])</f>
        <v>34</v>
      </c>
      <c r="M10" s="70">
        <f>SUMIF(Table2[Course Title],Table311[[#This Row],[Courses - Planned vs Need (Active Courses)]],Table2[Waitlisted])</f>
        <v>0</v>
      </c>
      <c r="N10" s="70">
        <f>SUMIF(Table2[Course Title],Table311[[#This Row],[Courses - Planned vs Need (Active Courses)]],Table2[Walk-ins])</f>
        <v>0</v>
      </c>
      <c r="O10" s="39">
        <f>SUMIF(Table2[Course Title],Table311[[#This Row],[Courses - Planned vs Need (Active Courses)]],Table2[No Shows])</f>
        <v>1</v>
      </c>
      <c r="P10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45</v>
      </c>
      <c r="Q10" s="41">
        <f>ROUNDDOWN(Table311[[#This Row],[To date quotas unused (Open quotas+ no shows)]]/Table311[[#This Row],[Quota per Offering]],0)</f>
        <v>1</v>
      </c>
      <c r="R10" s="39">
        <f t="shared" si="2"/>
        <v>69</v>
      </c>
      <c r="S10" s="41">
        <f ca="1">COUNTIFS(Table2[Course Title],Table311[[#This Row],[Courses - Planned vs Need (Active Courses)]],Table2[Roster Status],"1",Table2[Remaining Courses],"0")</f>
        <v>0</v>
      </c>
      <c r="T10" s="41">
        <f ca="1">COUNTIFS(Table2[Course Title],Table311[[#This Row],[Courses - Planned vs Need (Active Courses)]],Table2[Remaining Courses],"1")</f>
        <v>1</v>
      </c>
      <c r="U10" s="42">
        <f t="shared" si="3"/>
        <v>3.0456852791878174E-2</v>
      </c>
      <c r="V1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0.1</v>
      </c>
      <c r="W1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0.98</v>
      </c>
      <c r="X10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21</v>
      </c>
      <c r="Y10" s="41">
        <f t="shared" ca="1" si="4"/>
        <v>25</v>
      </c>
      <c r="Z10" s="41">
        <f>Table311[[#This Row],[Fleet Quota Need]]-Table311[[#This Row],[Total Grads]]</f>
        <v>191</v>
      </c>
      <c r="AA10" s="26"/>
    </row>
    <row r="11" spans="2:27" ht="15.75" x14ac:dyDescent="0.25">
      <c r="B11" s="51" t="s">
        <v>46</v>
      </c>
      <c r="C11" s="37"/>
      <c r="D11" s="37" t="s">
        <v>90</v>
      </c>
      <c r="E11" s="37">
        <f>COUNTIF(Table2[Course Title],Table311[[#This Row],[Courses - Planned vs Need (Active Courses)]])</f>
        <v>4</v>
      </c>
      <c r="F11" s="37">
        <v>30</v>
      </c>
      <c r="G11" s="37">
        <f>Table311[[#This Row],[Course Offerings]]*Table311[[#This Row],[Quota per Offering]]</f>
        <v>120</v>
      </c>
      <c r="H11" s="349">
        <v>258</v>
      </c>
      <c r="I11" s="37">
        <f t="shared" si="0"/>
        <v>-138</v>
      </c>
      <c r="J11" s="40">
        <f t="shared" si="1"/>
        <v>0.46511627906976744</v>
      </c>
      <c r="K11" s="38">
        <f>SUMIF(Table2[Course Title],Table311[[#This Row],[Courses - Planned vs Need (Active Courses)]],Table2[Graduates])</f>
        <v>37</v>
      </c>
      <c r="L11" s="70">
        <f>SUMIF(Table2[Course Title],Table311[[#This Row],[Courses - Planned vs Need (Active Courses)]],Table2[Registered])</f>
        <v>42</v>
      </c>
      <c r="M11" s="70">
        <f>SUMIF(Table2[Course Title],Table311[[#This Row],[Courses - Planned vs Need (Active Courses)]],Table2[Waitlisted])</f>
        <v>0</v>
      </c>
      <c r="N11" s="70">
        <f>SUMIF(Table2[Course Title],Table311[[#This Row],[Courses - Planned vs Need (Active Courses)]],Table2[Walk-ins])</f>
        <v>0</v>
      </c>
      <c r="O11" s="39">
        <f>SUMIF(Table2[Course Title],Table311[[#This Row],[Courses - Planned vs Need (Active Courses)]],Table2[No Shows])</f>
        <v>4</v>
      </c>
      <c r="P11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27</v>
      </c>
      <c r="Q11" s="41">
        <f>ROUNDDOWN(Table311[[#This Row],[To date quotas unused (Open quotas+ no shows)]]/Table311[[#This Row],[Quota per Offering]],0)</f>
        <v>0</v>
      </c>
      <c r="R11" s="39">
        <f t="shared" si="2"/>
        <v>83</v>
      </c>
      <c r="S11" s="41">
        <f ca="1">COUNTIFS(Table2[Course Title],Table311[[#This Row],[Courses - Planned vs Need (Active Courses)]],Table2[Roster Status],"1",Table2[Remaining Courses],"0")</f>
        <v>0</v>
      </c>
      <c r="T11" s="41">
        <f ca="1">COUNTIFS(Table2[Course Title],Table311[[#This Row],[Courses - Planned vs Need (Active Courses)]],Table2[Remaining Courses],"1")</f>
        <v>2</v>
      </c>
      <c r="U11" s="42">
        <f t="shared" si="3"/>
        <v>0.1434108527131783</v>
      </c>
      <c r="V1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0.55000000000000004</v>
      </c>
      <c r="W1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0.93333333333333335</v>
      </c>
      <c r="X11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58</v>
      </c>
      <c r="Y11" s="41">
        <f t="shared" ca="1" si="4"/>
        <v>60</v>
      </c>
      <c r="Z11" s="41">
        <f>Table311[[#This Row],[Fleet Quota Need]]-Table311[[#This Row],[Total Grads]]</f>
        <v>221</v>
      </c>
      <c r="AA11" s="26"/>
    </row>
    <row r="12" spans="2:27" ht="31.5" x14ac:dyDescent="0.25">
      <c r="B12" s="51" t="s">
        <v>37</v>
      </c>
      <c r="C12" s="37"/>
      <c r="D12" s="37" t="s">
        <v>514</v>
      </c>
      <c r="E12" s="37">
        <f>COUNTIF(Table2[Course Title],Table311[[#This Row],[Courses - Planned vs Need (Active Courses)]])</f>
        <v>11</v>
      </c>
      <c r="F12" s="37">
        <v>45</v>
      </c>
      <c r="G12" s="37">
        <f>Table311[[#This Row],[Course Offerings]]*Table311[[#This Row],[Quota per Offering]]</f>
        <v>495</v>
      </c>
      <c r="H12" s="349">
        <v>464</v>
      </c>
      <c r="I12" s="37">
        <f t="shared" si="0"/>
        <v>31</v>
      </c>
      <c r="J12" s="40">
        <f t="shared" si="1"/>
        <v>1.0668103448275863</v>
      </c>
      <c r="K12" s="38">
        <f>SUMIF(Table2[Course Title],Table311[[#This Row],[Courses - Planned vs Need (Active Courses)]],Table2[Graduates])</f>
        <v>149</v>
      </c>
      <c r="L12" s="70">
        <f>SUMIF(Table2[Course Title],Table311[[#This Row],[Courses - Planned vs Need (Active Courses)]],Table2[Registered])</f>
        <v>242</v>
      </c>
      <c r="M12" s="70">
        <f>SUMIF(Table2[Course Title],Table311[[#This Row],[Courses - Planned vs Need (Active Courses)]],Table2[Waitlisted])</f>
        <v>0</v>
      </c>
      <c r="N12" s="70">
        <f>SUMIF(Table2[Course Title],Table311[[#This Row],[Courses - Planned vs Need (Active Courses)]],Table2[Walk-ins])</f>
        <v>0</v>
      </c>
      <c r="O12" s="39">
        <f>SUMIF(Table2[Course Title],Table311[[#This Row],[Courses - Planned vs Need (Active Courses)]],Table2[No Shows])</f>
        <v>25</v>
      </c>
      <c r="P12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99</v>
      </c>
      <c r="Q12" s="41">
        <f>ROUNDDOWN(Table311[[#This Row],[To date quotas unused (Open quotas+ no shows)]]/Table311[[#This Row],[Quota per Offering]],0)</f>
        <v>2</v>
      </c>
      <c r="R12" s="39">
        <f t="shared" si="2"/>
        <v>346</v>
      </c>
      <c r="S12" s="41">
        <f ca="1">COUNTIFS(Table2[Course Title],Table311[[#This Row],[Courses - Planned vs Need (Active Courses)]],Table2[Roster Status],"1",Table2[Remaining Courses],"0")</f>
        <v>1</v>
      </c>
      <c r="T12" s="41">
        <f ca="1">COUNTIFS(Table2[Course Title],Table311[[#This Row],[Courses - Planned vs Need (Active Courses)]],Table2[Remaining Courses],"1")</f>
        <v>5</v>
      </c>
      <c r="U12" s="42">
        <f t="shared" si="3"/>
        <v>0.32112068965517243</v>
      </c>
      <c r="V1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0.56000000000000005</v>
      </c>
      <c r="W1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0.88888888888888884</v>
      </c>
      <c r="X12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188</v>
      </c>
      <c r="Y12" s="41">
        <f t="shared" ca="1" si="4"/>
        <v>270</v>
      </c>
      <c r="Z12" s="41">
        <f>Table311[[#This Row],[Fleet Quota Need]]-Table311[[#This Row],[Total Grads]]</f>
        <v>315</v>
      </c>
      <c r="AA12" s="26"/>
    </row>
    <row r="13" spans="2:27" ht="31.5" x14ac:dyDescent="0.25">
      <c r="B13" s="62" t="s">
        <v>55</v>
      </c>
      <c r="C13" s="37" t="s">
        <v>18</v>
      </c>
      <c r="D13" s="37" t="s">
        <v>515</v>
      </c>
      <c r="E13" s="37">
        <f>COUNTIF(Table2[Course Title],Table311[[#This Row],[Courses - Planned vs Need (Active Courses)]])</f>
        <v>35</v>
      </c>
      <c r="F13" s="37">
        <v>25</v>
      </c>
      <c r="G13" s="37">
        <f>Table311[[#This Row],[Course Offerings]]*Table311[[#This Row],[Quota per Offering]]</f>
        <v>875</v>
      </c>
      <c r="H13" s="349">
        <v>2046</v>
      </c>
      <c r="I13" s="37">
        <f t="shared" si="0"/>
        <v>-1171</v>
      </c>
      <c r="J13" s="40">
        <f t="shared" si="1"/>
        <v>0.42766373411534703</v>
      </c>
      <c r="K13" s="38">
        <f>SUMIF(Table2[Course Title],Table311[[#This Row],[Courses - Planned vs Need (Active Courses)]],Table2[Graduates])</f>
        <v>389</v>
      </c>
      <c r="L13" s="70">
        <f ca="1">SUMIF(Table2[Course Title],Table311[[#This Row],[Courses - Planned vs Need (Active Courses)]],Table2[Registered])</f>
        <v>571</v>
      </c>
      <c r="M13" s="70">
        <f>SUMIF(Table2[Course Title],Table311[[#This Row],[Courses - Planned vs Need (Active Courses)]],Table2[Waitlisted])</f>
        <v>10</v>
      </c>
      <c r="N13" s="70">
        <f>SUMIF(Table2[Course Title],Table311[[#This Row],[Courses - Planned vs Need (Active Courses)]],Table2[Walk-ins])</f>
        <v>5</v>
      </c>
      <c r="O13" s="39">
        <f>SUMIF(Table2[Course Title],Table311[[#This Row],[Courses - Planned vs Need (Active Courses)]],Table2[No Shows])</f>
        <v>82</v>
      </c>
      <c r="P13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242</v>
      </c>
      <c r="Q13" s="41">
        <f>ROUNDDOWN(Table311[[#This Row],[To date quotas unused (Open quotas+ no shows)]]/Table311[[#This Row],[Quota per Offering]],0)</f>
        <v>9</v>
      </c>
      <c r="R13" s="39">
        <f t="shared" si="2"/>
        <v>486</v>
      </c>
      <c r="S13" s="41">
        <f ca="1">COUNTIFS(Table2[Course Title],Table311[[#This Row],[Courses - Planned vs Need (Active Courses)]],Table2[Roster Status],"1",Table2[Remaining Courses],"0")</f>
        <v>2</v>
      </c>
      <c r="T13" s="41">
        <f ca="1">COUNTIFS(Table2[Course Title],Table311[[#This Row],[Courses - Planned vs Need (Active Courses)]],Table2[Remaining Courses],"1")</f>
        <v>11</v>
      </c>
      <c r="U13" s="42">
        <f t="shared" si="3"/>
        <v>0.19012707722385142</v>
      </c>
      <c r="V1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0.56000000000000005</v>
      </c>
      <c r="W1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0.85090909090909095</v>
      </c>
      <c r="X13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101</v>
      </c>
      <c r="Y13" s="41">
        <f t="shared" ca="1" si="4"/>
        <v>325</v>
      </c>
      <c r="Z13" s="41">
        <f>Table311[[#This Row],[Fleet Quota Need]]-Table311[[#This Row],[Total Grads]]</f>
        <v>1657</v>
      </c>
      <c r="AA13" s="26"/>
    </row>
    <row r="14" spans="2:27" ht="15.75" x14ac:dyDescent="0.25">
      <c r="B14" s="62" t="s">
        <v>47</v>
      </c>
      <c r="C14" s="37" t="s">
        <v>18</v>
      </c>
      <c r="D14" s="37" t="s">
        <v>90</v>
      </c>
      <c r="E14" s="37">
        <f>COUNTIF(Table2[Course Title],Table311[[#This Row],[Courses - Planned vs Need (Active Courses)]])</f>
        <v>6</v>
      </c>
      <c r="F14" s="37">
        <v>25</v>
      </c>
      <c r="G14" s="37">
        <f>Table311[[#This Row],[Course Offerings]]*Table311[[#This Row],[Quota per Offering]]</f>
        <v>150</v>
      </c>
      <c r="H14" s="349">
        <v>707</v>
      </c>
      <c r="I14" s="37">
        <f t="shared" si="0"/>
        <v>-557</v>
      </c>
      <c r="J14" s="40">
        <f t="shared" si="1"/>
        <v>0.21216407355021216</v>
      </c>
      <c r="K14" s="38">
        <f>SUMIF(Table2[Course Title],Table311[[#This Row],[Courses - Planned vs Need (Active Courses)]],Table2[Graduates])</f>
        <v>33</v>
      </c>
      <c r="L14" s="70">
        <f>SUMIF(Table2[Course Title],Table311[[#This Row],[Courses - Planned vs Need (Active Courses)]],Table2[Registered])</f>
        <v>98</v>
      </c>
      <c r="M14" s="70">
        <f>SUMIF(Table2[Course Title],Table311[[#This Row],[Courses - Planned vs Need (Active Courses)]],Table2[Waitlisted])</f>
        <v>5</v>
      </c>
      <c r="N14" s="70">
        <f>SUMIF(Table2[Course Title],Table311[[#This Row],[Courses - Planned vs Need (Active Courses)]],Table2[Walk-ins])</f>
        <v>1</v>
      </c>
      <c r="O14" s="39">
        <f>SUMIF(Table2[Course Title],Table311[[#This Row],[Courses - Planned vs Need (Active Courses)]],Table2[No Shows])</f>
        <v>11</v>
      </c>
      <c r="P14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25</v>
      </c>
      <c r="Q14" s="41">
        <f>ROUNDDOWN(Table311[[#This Row],[To date quotas unused (Open quotas+ no shows)]]/Table311[[#This Row],[Quota per Offering]],0)</f>
        <v>1</v>
      </c>
      <c r="R14" s="39">
        <f t="shared" si="2"/>
        <v>117</v>
      </c>
      <c r="S14" s="41">
        <f ca="1">COUNTIFS(Table2[Course Title],Table311[[#This Row],[Courses - Planned vs Need (Active Courses)]],Table2[Roster Status],"1",Table2[Remaining Courses],"0")</f>
        <v>0</v>
      </c>
      <c r="T14" s="41">
        <f ca="1">COUNTIFS(Table2[Course Title],Table311[[#This Row],[Courses - Planned vs Need (Active Courses)]],Table2[Remaining Courses],"1")</f>
        <v>4</v>
      </c>
      <c r="U14" s="42">
        <f t="shared" si="3"/>
        <v>4.6676096181046678E-2</v>
      </c>
      <c r="V1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</v>
      </c>
      <c r="W1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0.78</v>
      </c>
      <c r="X14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47</v>
      </c>
      <c r="Y14" s="41">
        <f t="shared" ca="1" si="4"/>
        <v>100</v>
      </c>
      <c r="Z14" s="41">
        <f>Table311[[#This Row],[Fleet Quota Need]]-Table311[[#This Row],[Total Grads]]</f>
        <v>674</v>
      </c>
      <c r="AA14" s="26"/>
    </row>
    <row r="15" spans="2:27" ht="15.75" x14ac:dyDescent="0.25">
      <c r="B15" s="62" t="s">
        <v>56</v>
      </c>
      <c r="C15" s="37" t="s">
        <v>18</v>
      </c>
      <c r="D15" s="37" t="s">
        <v>515</v>
      </c>
      <c r="E15" s="37">
        <f>COUNTIF(Table2[Course Title],Table311[[#This Row],[Courses - Planned vs Need (Active Courses)]])</f>
        <v>3</v>
      </c>
      <c r="F15" s="37">
        <v>35</v>
      </c>
      <c r="G15" s="37">
        <f>Table311[[#This Row],[Course Offerings]]*Table311[[#This Row],[Quota per Offering]]</f>
        <v>105</v>
      </c>
      <c r="H15" s="349">
        <v>620</v>
      </c>
      <c r="I15" s="37">
        <f t="shared" si="0"/>
        <v>-515</v>
      </c>
      <c r="J15" s="40">
        <f t="shared" si="1"/>
        <v>0.16935483870967741</v>
      </c>
      <c r="K15" s="38">
        <f>SUMIF(Table2[Course Title],Table311[[#This Row],[Courses - Planned vs Need (Active Courses)]],Table2[Graduates])</f>
        <v>0</v>
      </c>
      <c r="L15" s="70">
        <f>SUMIF(Table2[Course Title],Table311[[#This Row],[Courses - Planned vs Need (Active Courses)]],Table2[Registered])</f>
        <v>32</v>
      </c>
      <c r="M15" s="70">
        <f>SUMIF(Table2[Course Title],Table311[[#This Row],[Courses - Planned vs Need (Active Courses)]],Table2[Waitlisted])</f>
        <v>0</v>
      </c>
      <c r="N15" s="70">
        <f>SUMIF(Table2[Course Title],Table311[[#This Row],[Courses - Planned vs Need (Active Courses)]],Table2[Walk-ins])</f>
        <v>0</v>
      </c>
      <c r="O15" s="39">
        <f>SUMIF(Table2[Course Title],Table311[[#This Row],[Courses - Planned vs Need (Active Courses)]],Table2[No Shows])</f>
        <v>0</v>
      </c>
      <c r="P15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5" s="41">
        <f>ROUNDDOWN(Table311[[#This Row],[To date quotas unused (Open quotas+ no shows)]]/Table311[[#This Row],[Quota per Offering]],0)</f>
        <v>0</v>
      </c>
      <c r="R15" s="39">
        <f t="shared" si="2"/>
        <v>105</v>
      </c>
      <c r="S15" s="41">
        <f ca="1">COUNTIFS(Table2[Course Title],Table311[[#This Row],[Courses - Planned vs Need (Active Courses)]],Table2[Roster Status],"1",Table2[Remaining Courses],"0")</f>
        <v>0</v>
      </c>
      <c r="T15" s="41">
        <f ca="1">COUNTIFS(Table2[Course Title],Table311[[#This Row],[Courses - Planned vs Need (Active Courses)]],Table2[Remaining Courses],"1")</f>
        <v>3</v>
      </c>
      <c r="U15" s="42">
        <f t="shared" si="3"/>
        <v>0</v>
      </c>
      <c r="V1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5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73</v>
      </c>
      <c r="Y15" s="41">
        <f t="shared" ca="1" si="4"/>
        <v>105</v>
      </c>
      <c r="Z15" s="41">
        <f>Table311[[#This Row],[Fleet Quota Need]]-Table311[[#This Row],[Total Grads]]</f>
        <v>620</v>
      </c>
      <c r="AA15" s="26"/>
    </row>
    <row r="16" spans="2:27" ht="15.75" x14ac:dyDescent="0.25">
      <c r="B16" s="51" t="s">
        <v>48</v>
      </c>
      <c r="C16" s="37"/>
      <c r="D16" s="37" t="s">
        <v>90</v>
      </c>
      <c r="E16" s="37">
        <f>COUNTIF(Table2[Course Title],Table311[[#This Row],[Courses - Planned vs Need (Active Courses)]])</f>
        <v>3</v>
      </c>
      <c r="F16" s="37">
        <v>25</v>
      </c>
      <c r="G16" s="37">
        <f>Table311[[#This Row],[Course Offerings]]*Table311[[#This Row],[Quota per Offering]]</f>
        <v>75</v>
      </c>
      <c r="H16" s="349">
        <v>61</v>
      </c>
      <c r="I16" s="37">
        <f t="shared" si="0"/>
        <v>14</v>
      </c>
      <c r="J16" s="40">
        <f t="shared" si="1"/>
        <v>1.2295081967213115</v>
      </c>
      <c r="K16" s="38">
        <f>SUMIF(Table2[Course Title],Table311[[#This Row],[Courses - Planned vs Need (Active Courses)]],Table2[Graduates])</f>
        <v>12</v>
      </c>
      <c r="L16" s="70">
        <f ca="1">SUMIF(Table2[Course Title],Table311[[#This Row],[Courses - Planned vs Need (Active Courses)]],Table2[Registered])</f>
        <v>12</v>
      </c>
      <c r="M16" s="70">
        <f>SUMIF(Table2[Course Title],Table311[[#This Row],[Courses - Planned vs Need (Active Courses)]],Table2[Waitlisted])</f>
        <v>0</v>
      </c>
      <c r="N16" s="70">
        <f>SUMIF(Table2[Course Title],Table311[[#This Row],[Courses - Planned vs Need (Active Courses)]],Table2[Walk-ins])</f>
        <v>0</v>
      </c>
      <c r="O16" s="39">
        <f>SUMIF(Table2[Course Title],Table311[[#This Row],[Courses - Planned vs Need (Active Courses)]],Table2[No Shows])</f>
        <v>0</v>
      </c>
      <c r="P16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13</v>
      </c>
      <c r="Q16" s="41">
        <f>ROUNDDOWN(Table311[[#This Row],[To date quotas unused (Open quotas+ no shows)]]/Table311[[#This Row],[Quota per Offering]],0)</f>
        <v>0</v>
      </c>
      <c r="R16" s="39">
        <f t="shared" si="2"/>
        <v>63</v>
      </c>
      <c r="S16" s="41">
        <f ca="1">COUNTIFS(Table2[Course Title],Table311[[#This Row],[Courses - Planned vs Need (Active Courses)]],Table2[Roster Status],"1",Table2[Remaining Courses],"0")</f>
        <v>0</v>
      </c>
      <c r="T16" s="41">
        <f ca="1">COUNTIFS(Table2[Course Title],Table311[[#This Row],[Courses - Planned vs Need (Active Courses)]],Table2[Remaining Courses],"1")</f>
        <v>2</v>
      </c>
      <c r="U16" s="42">
        <f t="shared" si="3"/>
        <v>0.19672131147540983</v>
      </c>
      <c r="V1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0.48</v>
      </c>
      <c r="W1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16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50</v>
      </c>
      <c r="Y16" s="41">
        <f t="shared" ca="1" si="4"/>
        <v>50</v>
      </c>
      <c r="Z16" s="41">
        <f>Table311[[#This Row],[Fleet Quota Need]]-Table311[[#This Row],[Total Grads]]</f>
        <v>49</v>
      </c>
      <c r="AA16" s="26"/>
    </row>
    <row r="17" spans="2:27" ht="15.75" x14ac:dyDescent="0.25">
      <c r="B17" s="62" t="s">
        <v>17</v>
      </c>
      <c r="C17" s="37" t="s">
        <v>18</v>
      </c>
      <c r="D17" s="37" t="s">
        <v>85</v>
      </c>
      <c r="E17" s="37">
        <f>COUNTIF(Table2[Course Title],Table311[[#This Row],[Courses - Planned vs Need (Active Courses)]])</f>
        <v>29</v>
      </c>
      <c r="F17" s="37">
        <v>40</v>
      </c>
      <c r="G17" s="37">
        <f>Table311[[#This Row],[Course Offerings]]*Table311[[#This Row],[Quota per Offering]]</f>
        <v>1160</v>
      </c>
      <c r="H17" s="349">
        <v>661</v>
      </c>
      <c r="I17" s="37">
        <f t="shared" si="0"/>
        <v>499</v>
      </c>
      <c r="J17" s="40">
        <f t="shared" si="1"/>
        <v>1.7549167927382754</v>
      </c>
      <c r="K17" s="38">
        <f>SUMIF(Table2[Course Title],Table311[[#This Row],[Courses - Planned vs Need (Active Courses)]],Table2[Graduates])</f>
        <v>365</v>
      </c>
      <c r="L17" s="70">
        <f ca="1">SUMIF(Table2[Course Title],Table311[[#This Row],[Courses - Planned vs Need (Active Courses)]],Table2[Registered])</f>
        <v>467</v>
      </c>
      <c r="M17" s="70">
        <f>SUMIF(Table2[Course Title],Table311[[#This Row],[Courses - Planned vs Need (Active Courses)]],Table2[Waitlisted])</f>
        <v>0</v>
      </c>
      <c r="N17" s="70">
        <f>SUMIF(Table2[Course Title],Table311[[#This Row],[Courses - Planned vs Need (Active Courses)]],Table2[Walk-ins])</f>
        <v>52</v>
      </c>
      <c r="O17" s="39">
        <f>SUMIF(Table2[Course Title],Table311[[#This Row],[Courses - Planned vs Need (Active Courses)]],Table2[No Shows])</f>
        <v>59</v>
      </c>
      <c r="P17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294</v>
      </c>
      <c r="Q17" s="41">
        <f>ROUNDDOWN(Table311[[#This Row],[To date quotas unused (Open quotas+ no shows)]]/Table311[[#This Row],[Quota per Offering]],0)</f>
        <v>7</v>
      </c>
      <c r="R17" s="39">
        <f t="shared" si="2"/>
        <v>795</v>
      </c>
      <c r="S17" s="41">
        <f ca="1">COUNTIFS(Table2[Course Title],Table311[[#This Row],[Courses - Planned vs Need (Active Courses)]],Table2[Roster Status],"1",Table2[Remaining Courses],"0")</f>
        <v>1</v>
      </c>
      <c r="T17" s="41">
        <f ca="1">COUNTIFS(Table2[Course Title],Table311[[#This Row],[Courses - Planned vs Need (Active Courses)]],Table2[Remaining Courses],"1")</f>
        <v>13</v>
      </c>
      <c r="U17" s="42">
        <f t="shared" si="3"/>
        <v>0.5521936459909228</v>
      </c>
      <c r="V1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0.51</v>
      </c>
      <c r="W1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0.90166666666666662</v>
      </c>
      <c r="X17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390</v>
      </c>
      <c r="Y17" s="41">
        <f t="shared" ca="1" si="4"/>
        <v>560</v>
      </c>
      <c r="Z17" s="41">
        <f>Table311[[#This Row],[Fleet Quota Need]]-Table311[[#This Row],[Total Grads]]</f>
        <v>296</v>
      </c>
      <c r="AA17" s="26"/>
    </row>
    <row r="18" spans="2:27" ht="31.5" x14ac:dyDescent="0.25">
      <c r="B18" s="62" t="s">
        <v>28</v>
      </c>
      <c r="C18" s="37" t="s">
        <v>18</v>
      </c>
      <c r="D18" s="37" t="s">
        <v>85</v>
      </c>
      <c r="E18" s="37">
        <f>COUNTIF(Table2[Course Title],Table311[[#This Row],[Courses - Planned vs Need (Active Courses)]])</f>
        <v>21</v>
      </c>
      <c r="F18" s="37">
        <v>40</v>
      </c>
      <c r="G18" s="37">
        <f>Table311[[#This Row],[Course Offerings]]*Table311[[#This Row],[Quota per Offering]]</f>
        <v>840</v>
      </c>
      <c r="H18" s="349">
        <v>787</v>
      </c>
      <c r="I18" s="37">
        <f t="shared" si="0"/>
        <v>53</v>
      </c>
      <c r="J18" s="40">
        <f t="shared" si="1"/>
        <v>1.0673443456162643</v>
      </c>
      <c r="K18" s="38">
        <f>SUMIF(Table2[Course Title],Table311[[#This Row],[Courses - Planned vs Need (Active Courses)]],Table2[Graduates])</f>
        <v>64</v>
      </c>
      <c r="L18" s="70">
        <f ca="1">SUMIF(Table2[Course Title],Table311[[#This Row],[Courses - Planned vs Need (Active Courses)]],Table2[Registered])</f>
        <v>153</v>
      </c>
      <c r="M18" s="70">
        <f>SUMIF(Table2[Course Title],Table311[[#This Row],[Courses - Planned vs Need (Active Courses)]],Table2[Waitlisted])</f>
        <v>0</v>
      </c>
      <c r="N18" s="70">
        <f>SUMIF(Table2[Course Title],Table311[[#This Row],[Courses - Planned vs Need (Active Courses)]],Table2[Walk-ins])</f>
        <v>11</v>
      </c>
      <c r="O18" s="39">
        <f>SUMIF(Table2[Course Title],Table311[[#This Row],[Courses - Planned vs Need (Active Courses)]],Table2[No Shows])</f>
        <v>11</v>
      </c>
      <c r="P18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107</v>
      </c>
      <c r="Q18" s="41">
        <f>ROUNDDOWN(Table311[[#This Row],[To date quotas unused (Open quotas+ no shows)]]/Table311[[#This Row],[Quota per Offering]],0)</f>
        <v>2</v>
      </c>
      <c r="R18" s="39">
        <f t="shared" si="2"/>
        <v>776</v>
      </c>
      <c r="S18" s="41">
        <f ca="1">COUNTIFS(Table2[Course Title],Table311[[#This Row],[Courses - Planned vs Need (Active Courses)]],Table2[Roster Status],"1",Table2[Remaining Courses],"0")</f>
        <v>1</v>
      </c>
      <c r="T18" s="41">
        <f ca="1">COUNTIFS(Table2[Course Title],Table311[[#This Row],[Courses - Planned vs Need (Active Courses)]],Table2[Remaining Courses],"1")</f>
        <v>16</v>
      </c>
      <c r="U18" s="42">
        <f t="shared" si="3"/>
        <v>8.1321473951715378E-2</v>
      </c>
      <c r="V1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0.33124999999999999</v>
      </c>
      <c r="W1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0.93125000000000002</v>
      </c>
      <c r="X18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479</v>
      </c>
      <c r="Y18" s="41">
        <f t="shared" ca="1" si="4"/>
        <v>680</v>
      </c>
      <c r="Z18" s="41">
        <f>Table311[[#This Row],[Fleet Quota Need]]-Table311[[#This Row],[Total Grads]]</f>
        <v>723</v>
      </c>
      <c r="AA18" s="26"/>
    </row>
    <row r="19" spans="2:27" ht="31.5" x14ac:dyDescent="0.25">
      <c r="B19" s="51" t="s">
        <v>57</v>
      </c>
      <c r="C19" s="37"/>
      <c r="D19" s="37" t="s">
        <v>515</v>
      </c>
      <c r="E19" s="37">
        <f>COUNTIF(Table2[Course Title],Table311[[#This Row],[Courses - Planned vs Need (Active Courses)]])</f>
        <v>21</v>
      </c>
      <c r="F19" s="37">
        <v>45</v>
      </c>
      <c r="G19" s="37">
        <f>Table311[[#This Row],[Course Offerings]]*Table311[[#This Row],[Quota per Offering]]</f>
        <v>945</v>
      </c>
      <c r="H19" s="349">
        <v>915</v>
      </c>
      <c r="I19" s="37">
        <f t="shared" si="0"/>
        <v>30</v>
      </c>
      <c r="J19" s="40">
        <f t="shared" si="1"/>
        <v>1.0327868852459017</v>
      </c>
      <c r="K19" s="38">
        <f>SUMIF(Table2[Course Title],Table311[[#This Row],[Courses - Planned vs Need (Active Courses)]],Table2[Graduates])</f>
        <v>287</v>
      </c>
      <c r="L19" s="70">
        <f ca="1">SUMIF(Table2[Course Title],Table311[[#This Row],[Courses - Planned vs Need (Active Courses)]],Table2[Registered])</f>
        <v>430</v>
      </c>
      <c r="M19" s="70">
        <f>SUMIF(Table2[Course Title],Table311[[#This Row],[Courses - Planned vs Need (Active Courses)]],Table2[Waitlisted])</f>
        <v>8</v>
      </c>
      <c r="N19" s="70">
        <f>SUMIF(Table2[Course Title],Table311[[#This Row],[Courses - Planned vs Need (Active Courses)]],Table2[Walk-ins])</f>
        <v>8</v>
      </c>
      <c r="O19" s="39">
        <f>SUMIF(Table2[Course Title],Table311[[#This Row],[Courses - Planned vs Need (Active Courses)]],Table2[No Shows])</f>
        <v>77</v>
      </c>
      <c r="P19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191</v>
      </c>
      <c r="Q19" s="41">
        <f>ROUNDDOWN(Table311[[#This Row],[To date quotas unused (Open quotas+ no shows)]]/Table311[[#This Row],[Quota per Offering]],0)</f>
        <v>4</v>
      </c>
      <c r="R19" s="39">
        <f t="shared" si="2"/>
        <v>658</v>
      </c>
      <c r="S19" s="41">
        <f ca="1">COUNTIFS(Table2[Course Title],Table311[[#This Row],[Courses - Planned vs Need (Active Courses)]],Table2[Roster Status],"1",Table2[Remaining Courses],"0")</f>
        <v>1</v>
      </c>
      <c r="T19" s="41">
        <f ca="1">COUNTIFS(Table2[Course Title],Table311[[#This Row],[Courses - Planned vs Need (Active Courses)]],Table2[Remaining Courses],"1")</f>
        <v>11</v>
      </c>
      <c r="U19" s="42">
        <f t="shared" si="3"/>
        <v>0.31366120218579235</v>
      </c>
      <c r="V1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0.52839506172839501</v>
      </c>
      <c r="W1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0.80987654320987656</v>
      </c>
      <c r="X19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435</v>
      </c>
      <c r="Y19" s="41">
        <f t="shared" ca="1" si="4"/>
        <v>540</v>
      </c>
      <c r="Z19" s="41">
        <f>Table311[[#This Row],[Fleet Quota Need]]-Table311[[#This Row],[Total Grads]]</f>
        <v>628</v>
      </c>
      <c r="AA19" s="26"/>
    </row>
    <row r="20" spans="2:27" ht="15.75" x14ac:dyDescent="0.25">
      <c r="B20" s="62" t="s">
        <v>58</v>
      </c>
      <c r="C20" s="37" t="s">
        <v>18</v>
      </c>
      <c r="D20" s="37" t="s">
        <v>515</v>
      </c>
      <c r="E20" s="37">
        <f>COUNTIF(Table2[Course Title],Table311[[#This Row],[Courses - Planned vs Need (Active Courses)]])</f>
        <v>11</v>
      </c>
      <c r="F20" s="37">
        <v>30</v>
      </c>
      <c r="G20" s="37">
        <f>Table311[[#This Row],[Course Offerings]]*Table311[[#This Row],[Quota per Offering]]</f>
        <v>330</v>
      </c>
      <c r="H20" s="349">
        <v>883</v>
      </c>
      <c r="I20" s="37">
        <f t="shared" si="0"/>
        <v>-553</v>
      </c>
      <c r="J20" s="40">
        <f t="shared" si="1"/>
        <v>0.37372593431483581</v>
      </c>
      <c r="K20" s="38">
        <f>SUMIF(Table2[Course Title],Table311[[#This Row],[Courses - Planned vs Need (Active Courses)]],Table2[Graduates])</f>
        <v>39</v>
      </c>
      <c r="L20" s="70">
        <f ca="1">SUMIF(Table2[Course Title],Table311[[#This Row],[Courses - Planned vs Need (Active Courses)]],Table2[Registered])</f>
        <v>56</v>
      </c>
      <c r="M20" s="70">
        <f>SUMIF(Table2[Course Title],Table311[[#This Row],[Courses - Planned vs Need (Active Courses)]],Table2[Waitlisted])</f>
        <v>0</v>
      </c>
      <c r="N20" s="70">
        <f>SUMIF(Table2[Course Title],Table311[[#This Row],[Courses - Planned vs Need (Active Courses)]],Table2[Walk-ins])</f>
        <v>1</v>
      </c>
      <c r="O20" s="39">
        <f>SUMIF(Table2[Course Title],Table311[[#This Row],[Courses - Planned vs Need (Active Courses)]],Table2[No Shows])</f>
        <v>8</v>
      </c>
      <c r="P20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119</v>
      </c>
      <c r="Q20" s="41">
        <f>ROUNDDOWN(Table311[[#This Row],[To date quotas unused (Open quotas+ no shows)]]/Table311[[#This Row],[Quota per Offering]],0)</f>
        <v>3</v>
      </c>
      <c r="R20" s="39">
        <f t="shared" si="2"/>
        <v>291</v>
      </c>
      <c r="S20" s="41">
        <f ca="1">COUNTIFS(Table2[Course Title],Table311[[#This Row],[Courses - Planned vs Need (Active Courses)]],Table2[Roster Status],"1",Table2[Remaining Courses],"0")</f>
        <v>0</v>
      </c>
      <c r="T20" s="41">
        <f ca="1">COUNTIFS(Table2[Course Title],Table311[[#This Row],[Courses - Planned vs Need (Active Courses)]],Table2[Remaining Courses],"1")</f>
        <v>6</v>
      </c>
      <c r="U20" s="42">
        <f t="shared" si="3"/>
        <v>4.4167610419026046E-2</v>
      </c>
      <c r="V2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0.20666666666666667</v>
      </c>
      <c r="W2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0.94666666666666666</v>
      </c>
      <c r="X20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151</v>
      </c>
      <c r="Y20" s="41">
        <f t="shared" ca="1" si="4"/>
        <v>180</v>
      </c>
      <c r="Z20" s="41">
        <f>Table311[[#This Row],[Fleet Quota Need]]-Table311[[#This Row],[Total Grads]]</f>
        <v>844</v>
      </c>
      <c r="AA20" s="26"/>
    </row>
    <row r="21" spans="2:27" ht="31.5" x14ac:dyDescent="0.25">
      <c r="B21" s="51" t="s">
        <v>38</v>
      </c>
      <c r="C21" s="37"/>
      <c r="D21" s="37" t="s">
        <v>515</v>
      </c>
      <c r="E21" s="37">
        <f>COUNTIF(Table2[Course Title],Table311[[#This Row],[Courses - Planned vs Need (Active Courses)]])</f>
        <v>17</v>
      </c>
      <c r="F21" s="37">
        <v>45</v>
      </c>
      <c r="G21" s="37">
        <f>Table311[[#This Row],[Course Offerings]]*Table311[[#This Row],[Quota per Offering]]</f>
        <v>765</v>
      </c>
      <c r="H21" s="349">
        <v>721</v>
      </c>
      <c r="I21" s="37">
        <f t="shared" si="0"/>
        <v>44</v>
      </c>
      <c r="J21" s="40">
        <f t="shared" si="1"/>
        <v>1.0610263522884882</v>
      </c>
      <c r="K21" s="38">
        <f>SUMIF(Table2[Course Title],Table311[[#This Row],[Courses - Planned vs Need (Active Courses)]],Table2[Graduates])</f>
        <v>221</v>
      </c>
      <c r="L21" s="70">
        <f>SUMIF(Table2[Course Title],Table311[[#This Row],[Courses - Planned vs Need (Active Courses)]],Table2[Registered])</f>
        <v>340</v>
      </c>
      <c r="M21" s="70">
        <f>SUMIF(Table2[Course Title],Table311[[#This Row],[Courses - Planned vs Need (Active Courses)]],Table2[Waitlisted])</f>
        <v>0</v>
      </c>
      <c r="N21" s="70">
        <f>SUMIF(Table2[Course Title],Table311[[#This Row],[Courses - Planned vs Need (Active Courses)]],Table2[Walk-ins])</f>
        <v>0</v>
      </c>
      <c r="O21" s="39">
        <f>SUMIF(Table2[Course Title],Table311[[#This Row],[Courses - Planned vs Need (Active Courses)]],Table2[No Shows])</f>
        <v>42</v>
      </c>
      <c r="P21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181</v>
      </c>
      <c r="Q21" s="41">
        <f>ROUNDDOWN(Table311[[#This Row],[To date quotas unused (Open quotas+ no shows)]]/Table311[[#This Row],[Quota per Offering]],0)</f>
        <v>4</v>
      </c>
      <c r="R21" s="39">
        <f t="shared" si="2"/>
        <v>544</v>
      </c>
      <c r="S21" s="41">
        <f ca="1">COUNTIFS(Table2[Course Title],Table311[[#This Row],[Courses - Planned vs Need (Active Courses)]],Table2[Roster Status],"1",Table2[Remaining Courses],"0")</f>
        <v>0</v>
      </c>
      <c r="T21" s="41">
        <f ca="1">COUNTIFS(Table2[Course Title],Table311[[#This Row],[Courses - Planned vs Need (Active Courses)]],Table2[Remaining Courses],"1")</f>
        <v>9</v>
      </c>
      <c r="U21" s="42">
        <f t="shared" si="3"/>
        <v>0.30651872399445212</v>
      </c>
      <c r="V2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0.49722222222222223</v>
      </c>
      <c r="W2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0.8833333333333333</v>
      </c>
      <c r="X21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321</v>
      </c>
      <c r="Y21" s="41">
        <f t="shared" ca="1" si="4"/>
        <v>405</v>
      </c>
      <c r="Z21" s="41">
        <f>Table311[[#This Row],[Fleet Quota Need]]-Table311[[#This Row],[Total Grads]]</f>
        <v>500</v>
      </c>
      <c r="AA21" s="26"/>
    </row>
    <row r="22" spans="2:27" ht="47.25" x14ac:dyDescent="0.25">
      <c r="B22" s="51" t="s">
        <v>120</v>
      </c>
      <c r="C22" s="37"/>
      <c r="D22" s="37" t="s">
        <v>514</v>
      </c>
      <c r="E22" s="37">
        <f>COUNTIF(Table2[Course Title],Table311[[#This Row],[Courses - Planned vs Need (Active Courses)]])</f>
        <v>18</v>
      </c>
      <c r="F22" s="37">
        <v>45</v>
      </c>
      <c r="G22" s="37">
        <f>Table311[[#This Row],[Course Offerings]]*Table311[[#This Row],[Quota per Offering]]</f>
        <v>810</v>
      </c>
      <c r="H22" s="349">
        <v>791</v>
      </c>
      <c r="I22" s="37">
        <f t="shared" si="0"/>
        <v>19</v>
      </c>
      <c r="J22" s="40">
        <f t="shared" si="1"/>
        <v>1.0240202275600505</v>
      </c>
      <c r="K22" s="38">
        <f>SUMIF(Table2[Course Title],Table311[[#This Row],[Courses - Planned vs Need (Active Courses)]],Table2[Graduates])</f>
        <v>372</v>
      </c>
      <c r="L22" s="70">
        <f ca="1">SUMIF(Table2[Course Title],Table311[[#This Row],[Courses - Planned vs Need (Active Courses)]],Table2[Registered])</f>
        <v>553</v>
      </c>
      <c r="M22" s="70">
        <f>SUMIF(Table2[Course Title],Table311[[#This Row],[Courses - Planned vs Need (Active Courses)]],Table2[Waitlisted])</f>
        <v>26</v>
      </c>
      <c r="N22" s="70">
        <f>SUMIF(Table2[Course Title],Table311[[#This Row],[Courses - Planned vs Need (Active Courses)]],Table2[Walk-ins])</f>
        <v>2</v>
      </c>
      <c r="O22" s="39">
        <f>SUMIF(Table2[Course Title],Table311[[#This Row],[Courses - Planned vs Need (Active Courses)]],Table2[No Shows])</f>
        <v>72</v>
      </c>
      <c r="P22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181</v>
      </c>
      <c r="Q22" s="41">
        <f>ROUNDDOWN(Table311[[#This Row],[To date quotas unused (Open quotas+ no shows)]]/Table311[[#This Row],[Quota per Offering]],0)</f>
        <v>4</v>
      </c>
      <c r="R22" s="39">
        <f t="shared" si="2"/>
        <v>438</v>
      </c>
      <c r="S22" s="41">
        <f ca="1">COUNTIFS(Table2[Course Title],Table311[[#This Row],[Courses - Planned vs Need (Active Courses)]],Table2[Roster Status],"1",Table2[Remaining Courses],"0")</f>
        <v>0</v>
      </c>
      <c r="T22" s="41">
        <f ca="1">COUNTIFS(Table2[Course Title],Table311[[#This Row],[Courses - Planned vs Need (Active Courses)]],Table2[Remaining Courses],"1")</f>
        <v>7</v>
      </c>
      <c r="U22" s="42">
        <f t="shared" si="3"/>
        <v>0.47029077117572693</v>
      </c>
      <c r="V2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0.63434343434343432</v>
      </c>
      <c r="W2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0.8545454545454545</v>
      </c>
      <c r="X22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207</v>
      </c>
      <c r="Y22" s="41">
        <f t="shared" ca="1" si="4"/>
        <v>315</v>
      </c>
      <c r="Z22" s="41">
        <f>Table311[[#This Row],[Fleet Quota Need]]-Table311[[#This Row],[Total Grads]]</f>
        <v>419</v>
      </c>
      <c r="AA22" s="26"/>
    </row>
    <row r="23" spans="2:27" ht="31.5" x14ac:dyDescent="0.25">
      <c r="B23" s="62" t="s">
        <v>29</v>
      </c>
      <c r="C23" s="37" t="s">
        <v>18</v>
      </c>
      <c r="D23" s="37" t="s">
        <v>85</v>
      </c>
      <c r="E23" s="37">
        <f>COUNTIF(Table2[Course Title],Table311[[#This Row],[Courses - Planned vs Need (Active Courses)]])</f>
        <v>17</v>
      </c>
      <c r="F23" s="37">
        <v>25</v>
      </c>
      <c r="G23" s="37">
        <f>Table311[[#This Row],[Course Offerings]]*Table311[[#This Row],[Quota per Offering]]</f>
        <v>425</v>
      </c>
      <c r="H23" s="349">
        <v>1042</v>
      </c>
      <c r="I23" s="37">
        <f t="shared" si="0"/>
        <v>-617</v>
      </c>
      <c r="J23" s="40">
        <f t="shared" si="1"/>
        <v>0.40786948176583493</v>
      </c>
      <c r="K23" s="38">
        <f>SUMIF(Table2[Course Title],Table311[[#This Row],[Courses - Planned vs Need (Active Courses)]],Table2[Graduates])</f>
        <v>92</v>
      </c>
      <c r="L23" s="70">
        <f ca="1">SUMIF(Table2[Course Title],Table311[[#This Row],[Courses - Planned vs Need (Active Courses)]],Table2[Registered])</f>
        <v>95</v>
      </c>
      <c r="M23" s="70">
        <f>SUMIF(Table2[Course Title],Table311[[#This Row],[Courses - Planned vs Need (Active Courses)]],Table2[Waitlisted])</f>
        <v>0</v>
      </c>
      <c r="N23" s="70">
        <f>SUMIF(Table2[Course Title],Table311[[#This Row],[Courses - Planned vs Need (Active Courses)]],Table2[Walk-ins])</f>
        <v>9</v>
      </c>
      <c r="O23" s="39">
        <f>SUMIF(Table2[Course Title],Table311[[#This Row],[Courses - Planned vs Need (Active Courses)]],Table2[No Shows])</f>
        <v>7</v>
      </c>
      <c r="P23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65</v>
      </c>
      <c r="Q23" s="41">
        <f>ROUNDDOWN(Table311[[#This Row],[To date quotas unused (Open quotas+ no shows)]]/Table311[[#This Row],[Quota per Offering]],0)</f>
        <v>2</v>
      </c>
      <c r="R23" s="39">
        <f t="shared" si="2"/>
        <v>333</v>
      </c>
      <c r="S23" s="41">
        <f ca="1">COUNTIFS(Table2[Course Title],Table311[[#This Row],[Courses - Planned vs Need (Active Courses)]],Table2[Roster Status],"1",Table2[Remaining Courses],"0")</f>
        <v>0</v>
      </c>
      <c r="T23" s="41">
        <f ca="1">COUNTIFS(Table2[Course Title],Table311[[#This Row],[Courses - Planned vs Need (Active Courses)]],Table2[Remaining Courses],"1")</f>
        <v>11</v>
      </c>
      <c r="U23" s="42">
        <f t="shared" si="3"/>
        <v>8.829174664107485E-2</v>
      </c>
      <c r="V2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0.56666666666666665</v>
      </c>
      <c r="W2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0.95333333333333337</v>
      </c>
      <c r="X23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212</v>
      </c>
      <c r="Y23" s="41">
        <f t="shared" ca="1" si="4"/>
        <v>275</v>
      </c>
      <c r="Z23" s="41">
        <f>Table311[[#This Row],[Fleet Quota Need]]-Table311[[#This Row],[Total Grads]]</f>
        <v>950</v>
      </c>
      <c r="AA23" s="26"/>
    </row>
    <row r="24" spans="2:27" ht="47.25" x14ac:dyDescent="0.25">
      <c r="B24" s="62" t="s">
        <v>31</v>
      </c>
      <c r="C24" s="37" t="s">
        <v>18</v>
      </c>
      <c r="D24" s="37" t="s">
        <v>85</v>
      </c>
      <c r="E24" s="37">
        <f>COUNTIF(Table2[Course Title],Table311[[#This Row],[Courses - Planned vs Need (Active Courses)]])</f>
        <v>28</v>
      </c>
      <c r="F24" s="37">
        <v>30</v>
      </c>
      <c r="G24" s="37">
        <f>Table311[[#This Row],[Course Offerings]]*Table311[[#This Row],[Quota per Offering]]</f>
        <v>840</v>
      </c>
      <c r="H24" s="349">
        <v>1705</v>
      </c>
      <c r="I24" s="37">
        <f t="shared" si="0"/>
        <v>-865</v>
      </c>
      <c r="J24" s="40">
        <f t="shared" si="1"/>
        <v>0.49266862170087977</v>
      </c>
      <c r="K24" s="38">
        <f>SUMIF(Table2[Course Title],Table311[[#This Row],[Courses - Planned vs Need (Active Courses)]],Table2[Graduates])</f>
        <v>167</v>
      </c>
      <c r="L24" s="70">
        <f ca="1">SUMIF(Table2[Course Title],Table311[[#This Row],[Courses - Planned vs Need (Active Courses)]],Table2[Registered])</f>
        <v>292</v>
      </c>
      <c r="M24" s="70">
        <f>SUMIF(Table2[Course Title],Table311[[#This Row],[Courses - Planned vs Need (Active Courses)]],Table2[Waitlisted])</f>
        <v>3</v>
      </c>
      <c r="N24" s="70">
        <f>SUMIF(Table2[Course Title],Table311[[#This Row],[Courses - Planned vs Need (Active Courses)]],Table2[Walk-ins])</f>
        <v>12</v>
      </c>
      <c r="O24" s="39">
        <f>SUMIF(Table2[Course Title],Table311[[#This Row],[Courses - Planned vs Need (Active Courses)]],Table2[No Shows])</f>
        <v>26</v>
      </c>
      <c r="P24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271</v>
      </c>
      <c r="Q24" s="41">
        <f>ROUNDDOWN(Table311[[#This Row],[To date quotas unused (Open quotas+ no shows)]]/Table311[[#This Row],[Quota per Offering]],0)</f>
        <v>9</v>
      </c>
      <c r="R24" s="39">
        <f t="shared" si="2"/>
        <v>673</v>
      </c>
      <c r="S24" s="41">
        <f ca="1">COUNTIFS(Table2[Course Title],Table311[[#This Row],[Courses - Planned vs Need (Active Courses)]],Table2[Roster Status],"1",Table2[Remaining Courses],"0")</f>
        <v>1</v>
      </c>
      <c r="T24" s="41">
        <f ca="1">COUNTIFS(Table2[Course Title],Table311[[#This Row],[Courses - Planned vs Need (Active Courses)]],Table2[Remaining Courses],"1")</f>
        <v>14</v>
      </c>
      <c r="U24" s="42">
        <f t="shared" si="3"/>
        <v>9.7947214076246333E-2</v>
      </c>
      <c r="V2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0.30512820512820515</v>
      </c>
      <c r="W2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0.93333333333333335</v>
      </c>
      <c r="X24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257</v>
      </c>
      <c r="Y24" s="41">
        <f t="shared" ca="1" si="4"/>
        <v>450</v>
      </c>
      <c r="Z24" s="41">
        <f>Table311[[#This Row],[Fleet Quota Need]]-Table311[[#This Row],[Total Grads]]</f>
        <v>1538</v>
      </c>
      <c r="AA24" s="26"/>
    </row>
    <row r="25" spans="2:27" ht="31.5" x14ac:dyDescent="0.25">
      <c r="B25" s="62" t="s">
        <v>32</v>
      </c>
      <c r="C25" s="37" t="s">
        <v>18</v>
      </c>
      <c r="D25" s="37" t="s">
        <v>85</v>
      </c>
      <c r="E25" s="37">
        <f>COUNTIF(Table2[Course Title],Table311[[#This Row],[Courses - Planned vs Need (Active Courses)]])</f>
        <v>10</v>
      </c>
      <c r="F25" s="37">
        <v>30</v>
      </c>
      <c r="G25" s="37">
        <f>Table311[[#This Row],[Course Offerings]]*Table311[[#This Row],[Quota per Offering]]</f>
        <v>300</v>
      </c>
      <c r="H25" s="349">
        <v>614</v>
      </c>
      <c r="I25" s="37">
        <f t="shared" si="0"/>
        <v>-314</v>
      </c>
      <c r="J25" s="40">
        <f t="shared" si="1"/>
        <v>0.48859934853420195</v>
      </c>
      <c r="K25" s="38">
        <f>SUMIF(Table2[Course Title],Table311[[#This Row],[Courses - Planned vs Need (Active Courses)]],Table2[Graduates])</f>
        <v>81</v>
      </c>
      <c r="L25" s="70">
        <f ca="1">SUMIF(Table2[Course Title],Table311[[#This Row],[Courses - Planned vs Need (Active Courses)]],Table2[Registered])</f>
        <v>137</v>
      </c>
      <c r="M25" s="70">
        <f>SUMIF(Table2[Course Title],Table311[[#This Row],[Courses - Planned vs Need (Active Courses)]],Table2[Waitlisted])</f>
        <v>0</v>
      </c>
      <c r="N25" s="70">
        <f>SUMIF(Table2[Course Title],Table311[[#This Row],[Courses - Planned vs Need (Active Courses)]],Table2[Walk-ins])</f>
        <v>6</v>
      </c>
      <c r="O25" s="39">
        <f>SUMIF(Table2[Course Title],Table311[[#This Row],[Courses - Planned vs Need (Active Courses)]],Table2[No Shows])</f>
        <v>22</v>
      </c>
      <c r="P25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100</v>
      </c>
      <c r="Q25" s="41">
        <f>ROUNDDOWN(Table311[[#This Row],[To date quotas unused (Open quotas+ no shows)]]/Table311[[#This Row],[Quota per Offering]],0)</f>
        <v>3</v>
      </c>
      <c r="R25" s="39">
        <f t="shared" si="2"/>
        <v>219</v>
      </c>
      <c r="S25" s="41">
        <f ca="1">COUNTIFS(Table2[Course Title],Table311[[#This Row],[Courses - Planned vs Need (Active Courses)]],Table2[Roster Status],"1",Table2[Remaining Courses],"0")</f>
        <v>3</v>
      </c>
      <c r="T25" s="41">
        <f ca="1">COUNTIFS(Table2[Course Title],Table311[[#This Row],[Courses - Planned vs Need (Active Courses)]],Table2[Remaining Courses],"1")</f>
        <v>2</v>
      </c>
      <c r="U25" s="42">
        <f t="shared" si="3"/>
        <v>0.13192182410423453</v>
      </c>
      <c r="V2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0.33333333333333331</v>
      </c>
      <c r="W2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0.85333333333333339</v>
      </c>
      <c r="X25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60</v>
      </c>
      <c r="Y25" s="41">
        <f t="shared" ca="1" si="4"/>
        <v>150</v>
      </c>
      <c r="Z25" s="41">
        <f>Table311[[#This Row],[Fleet Quota Need]]-Table311[[#This Row],[Total Grads]]</f>
        <v>533</v>
      </c>
      <c r="AA25" s="26"/>
    </row>
    <row r="26" spans="2:27" ht="31.5" x14ac:dyDescent="0.25">
      <c r="B26" s="62" t="s">
        <v>33</v>
      </c>
      <c r="C26" s="37" t="s">
        <v>18</v>
      </c>
      <c r="D26" s="37" t="s">
        <v>85</v>
      </c>
      <c r="E26" s="37">
        <f>COUNTIF(Table2[Course Title],Table311[[#This Row],[Courses - Planned vs Need (Active Courses)]])</f>
        <v>13</v>
      </c>
      <c r="F26" s="37">
        <v>30</v>
      </c>
      <c r="G26" s="37">
        <f>Table311[[#This Row],[Course Offerings]]*Table311[[#This Row],[Quota per Offering]]</f>
        <v>390</v>
      </c>
      <c r="H26" s="349">
        <v>824</v>
      </c>
      <c r="I26" s="37">
        <f t="shared" si="0"/>
        <v>-434</v>
      </c>
      <c r="J26" s="40">
        <f t="shared" si="1"/>
        <v>0.47330097087378642</v>
      </c>
      <c r="K26" s="38">
        <f>SUMIF(Table2[Course Title],Table311[[#This Row],[Courses - Planned vs Need (Active Courses)]],Table2[Graduates])</f>
        <v>0</v>
      </c>
      <c r="L26" s="70">
        <f ca="1">SUMIF(Table2[Course Title],Table311[[#This Row],[Courses - Planned vs Need (Active Courses)]],Table2[Registered])</f>
        <v>65</v>
      </c>
      <c r="M26" s="70">
        <f>SUMIF(Table2[Course Title],Table311[[#This Row],[Courses - Planned vs Need (Active Courses)]],Table2[Waitlisted])</f>
        <v>0</v>
      </c>
      <c r="N26" s="70">
        <f>SUMIF(Table2[Course Title],Table311[[#This Row],[Courses - Planned vs Need (Active Courses)]],Table2[Walk-ins])</f>
        <v>0</v>
      </c>
      <c r="O26" s="39">
        <f>SUMIF(Table2[Course Title],Table311[[#This Row],[Courses - Planned vs Need (Active Courses)]],Table2[No Shows])</f>
        <v>0</v>
      </c>
      <c r="P26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60</v>
      </c>
      <c r="Q26" s="41">
        <f>ROUNDDOWN(Table311[[#This Row],[To date quotas unused (Open quotas+ no shows)]]/Table311[[#This Row],[Quota per Offering]],0)</f>
        <v>2</v>
      </c>
      <c r="R26" s="39">
        <f t="shared" si="2"/>
        <v>390</v>
      </c>
      <c r="S26" s="41">
        <f ca="1">COUNTIFS(Table2[Course Title],Table311[[#This Row],[Courses - Planned vs Need (Active Courses)]],Table2[Roster Status],"1",Table2[Remaining Courses],"0")</f>
        <v>2</v>
      </c>
      <c r="T26" s="41">
        <f ca="1">COUNTIFS(Table2[Course Title],Table311[[#This Row],[Courses - Planned vs Need (Active Courses)]],Table2[Remaining Courses],"1")</f>
        <v>9</v>
      </c>
      <c r="U26" s="42">
        <f t="shared" si="3"/>
        <v>0</v>
      </c>
      <c r="V2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26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258</v>
      </c>
      <c r="Y26" s="41">
        <f t="shared" ca="1" si="4"/>
        <v>330</v>
      </c>
      <c r="Z26" s="41">
        <f>Table311[[#This Row],[Fleet Quota Need]]-Table311[[#This Row],[Total Grads]]</f>
        <v>824</v>
      </c>
      <c r="AA26" s="26"/>
    </row>
    <row r="27" spans="2:27" ht="31.5" x14ac:dyDescent="0.25">
      <c r="B27" s="62" t="s">
        <v>34</v>
      </c>
      <c r="C27" s="37" t="s">
        <v>18</v>
      </c>
      <c r="D27" s="37" t="s">
        <v>85</v>
      </c>
      <c r="E27" s="37">
        <f>COUNTIF(Table2[Course Title],Table311[[#This Row],[Courses - Planned vs Need (Active Courses)]])</f>
        <v>7</v>
      </c>
      <c r="F27" s="37">
        <v>30</v>
      </c>
      <c r="G27" s="37">
        <f>Table311[[#This Row],[Course Offerings]]*Table311[[#This Row],[Quota per Offering]]</f>
        <v>210</v>
      </c>
      <c r="H27" s="349">
        <v>436</v>
      </c>
      <c r="I27" s="37">
        <f t="shared" si="0"/>
        <v>-226</v>
      </c>
      <c r="J27" s="40">
        <f t="shared" si="1"/>
        <v>0.48165137614678899</v>
      </c>
      <c r="K27" s="38">
        <f>SUMIF(Table2[Course Title],Table311[[#This Row],[Courses - Planned vs Need (Active Courses)]],Table2[Graduates])</f>
        <v>75</v>
      </c>
      <c r="L27" s="70">
        <f>SUMIF(Table2[Course Title],Table311[[#This Row],[Courses - Planned vs Need (Active Courses)]],Table2[Registered])</f>
        <v>124</v>
      </c>
      <c r="M27" s="70">
        <f>SUMIF(Table2[Course Title],Table311[[#This Row],[Courses - Planned vs Need (Active Courses)]],Table2[Waitlisted])</f>
        <v>0</v>
      </c>
      <c r="N27" s="70">
        <f>SUMIF(Table2[Course Title],Table311[[#This Row],[Courses - Planned vs Need (Active Courses)]],Table2[Walk-ins])</f>
        <v>8</v>
      </c>
      <c r="O27" s="39">
        <f>SUMIF(Table2[Course Title],Table311[[#This Row],[Courses - Planned vs Need (Active Courses)]],Table2[No Shows])</f>
        <v>27</v>
      </c>
      <c r="P27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107</v>
      </c>
      <c r="Q27" s="41">
        <f>ROUNDDOWN(Table311[[#This Row],[To date quotas unused (Open quotas+ no shows)]]/Table311[[#This Row],[Quota per Offering]],0)</f>
        <v>3</v>
      </c>
      <c r="R27" s="39">
        <f t="shared" si="2"/>
        <v>135</v>
      </c>
      <c r="S27" s="41">
        <f ca="1">COUNTIFS(Table2[Course Title],Table311[[#This Row],[Courses - Planned vs Need (Active Courses)]],Table2[Roster Status],"1",Table2[Remaining Courses],"0")</f>
        <v>1</v>
      </c>
      <c r="T27" s="41">
        <f ca="1">COUNTIFS(Table2[Course Title],Table311[[#This Row],[Courses - Planned vs Need (Active Courses)]],Table2[Remaining Courses],"1")</f>
        <v>1</v>
      </c>
      <c r="U27" s="42">
        <f t="shared" si="3"/>
        <v>0.17201834862385321</v>
      </c>
      <c r="V2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0.28666666666666668</v>
      </c>
      <c r="W2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0.82</v>
      </c>
      <c r="X27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0</v>
      </c>
      <c r="Y27" s="41">
        <f t="shared" ca="1" si="4"/>
        <v>60</v>
      </c>
      <c r="Z27" s="41">
        <f>Table311[[#This Row],[Fleet Quota Need]]-Table311[[#This Row],[Total Grads]]</f>
        <v>361</v>
      </c>
      <c r="AA27" s="26"/>
    </row>
    <row r="28" spans="2:27" ht="15.75" x14ac:dyDescent="0.25">
      <c r="B28" s="51" t="s">
        <v>49</v>
      </c>
      <c r="C28" s="37"/>
      <c r="D28" s="37" t="s">
        <v>90</v>
      </c>
      <c r="E28" s="37">
        <f>COUNTIF(Table2[Course Title],Table311[[#This Row],[Courses - Planned vs Need (Active Courses)]])</f>
        <v>10</v>
      </c>
      <c r="F28" s="37">
        <v>25</v>
      </c>
      <c r="G28" s="37">
        <f>Table311[[#This Row],[Course Offerings]]*Table311[[#This Row],[Quota per Offering]]</f>
        <v>250</v>
      </c>
      <c r="H28" s="349">
        <v>813</v>
      </c>
      <c r="I28" s="37">
        <f t="shared" si="0"/>
        <v>-563</v>
      </c>
      <c r="J28" s="40">
        <f t="shared" si="1"/>
        <v>0.30750307503075031</v>
      </c>
      <c r="K28" s="38">
        <f>SUMIF(Table2[Course Title],Table311[[#This Row],[Courses - Planned vs Need (Active Courses)]],Table2[Graduates])</f>
        <v>22</v>
      </c>
      <c r="L28" s="70">
        <f>SUMIF(Table2[Course Title],Table311[[#This Row],[Courses - Planned vs Need (Active Courses)]],Table2[Registered])</f>
        <v>56</v>
      </c>
      <c r="M28" s="70">
        <f>SUMIF(Table2[Course Title],Table311[[#This Row],[Courses - Planned vs Need (Active Courses)]],Table2[Waitlisted])</f>
        <v>0</v>
      </c>
      <c r="N28" s="70">
        <f>SUMIF(Table2[Course Title],Table311[[#This Row],[Courses - Planned vs Need (Active Courses)]],Table2[Walk-ins])</f>
        <v>0</v>
      </c>
      <c r="O28" s="39">
        <f>SUMIF(Table2[Course Title],Table311[[#This Row],[Courses - Planned vs Need (Active Courses)]],Table2[No Shows])</f>
        <v>5</v>
      </c>
      <c r="P28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58</v>
      </c>
      <c r="Q28" s="41">
        <f>ROUNDDOWN(Table311[[#This Row],[To date quotas unused (Open quotas+ no shows)]]/Table311[[#This Row],[Quota per Offering]],0)</f>
        <v>2</v>
      </c>
      <c r="R28" s="39">
        <f t="shared" si="2"/>
        <v>228</v>
      </c>
      <c r="S28" s="41">
        <f ca="1">COUNTIFS(Table2[Course Title],Table311[[#This Row],[Courses - Planned vs Need (Active Courses)]],Table2[Roster Status],"1",Table2[Remaining Courses],"0")</f>
        <v>0</v>
      </c>
      <c r="T28" s="41">
        <f ca="1">COUNTIFS(Table2[Course Title],Table311[[#This Row],[Courses - Planned vs Need (Active Courses)]],Table2[Remaining Courses],"1")</f>
        <v>7</v>
      </c>
      <c r="U28" s="42">
        <f t="shared" si="3"/>
        <v>2.7060270602706028E-2</v>
      </c>
      <c r="V2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0.22666666666666666</v>
      </c>
      <c r="W2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0.93333333333333335</v>
      </c>
      <c r="X28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145</v>
      </c>
      <c r="Y28" s="41">
        <f t="shared" ca="1" si="4"/>
        <v>175</v>
      </c>
      <c r="Z28" s="41">
        <f>Table311[[#This Row],[Fleet Quota Need]]-Table311[[#This Row],[Total Grads]]</f>
        <v>791</v>
      </c>
      <c r="AA28" s="26"/>
    </row>
    <row r="29" spans="2:27" ht="31.5" x14ac:dyDescent="0.25">
      <c r="B29" s="51" t="s">
        <v>50</v>
      </c>
      <c r="C29" s="37"/>
      <c r="D29" s="37" t="s">
        <v>90</v>
      </c>
      <c r="E29" s="37">
        <f>COUNTIF(Table2[Course Title],Table311[[#This Row],[Courses - Planned vs Need (Active Courses)]])</f>
        <v>19</v>
      </c>
      <c r="F29" s="37">
        <v>45</v>
      </c>
      <c r="G29" s="37">
        <f>Table311[[#This Row],[Course Offerings]]*Table311[[#This Row],[Quota per Offering]]</f>
        <v>855</v>
      </c>
      <c r="H29" s="349">
        <v>1075</v>
      </c>
      <c r="I29" s="37">
        <f t="shared" si="0"/>
        <v>-220</v>
      </c>
      <c r="J29" s="40">
        <f t="shared" si="1"/>
        <v>0.79534883720930227</v>
      </c>
      <c r="K29" s="38">
        <f>SUMIF(Table2[Course Title],Table311[[#This Row],[Courses - Planned vs Need (Active Courses)]],Table2[Graduates])</f>
        <v>354</v>
      </c>
      <c r="L29" s="70">
        <f>SUMIF(Table2[Course Title],Table311[[#This Row],[Courses - Planned vs Need (Active Courses)]],Table2[Registered])</f>
        <v>655</v>
      </c>
      <c r="M29" s="70">
        <f>SUMIF(Table2[Course Title],Table311[[#This Row],[Courses - Planned vs Need (Active Courses)]],Table2[Waitlisted])</f>
        <v>54</v>
      </c>
      <c r="N29" s="70">
        <f>SUMIF(Table2[Course Title],Table311[[#This Row],[Courses - Planned vs Need (Active Courses)]],Table2[Walk-ins])</f>
        <v>19</v>
      </c>
      <c r="O29" s="39">
        <f>SUMIF(Table2[Course Title],Table311[[#This Row],[Courses - Planned vs Need (Active Courses)]],Table2[No Shows])</f>
        <v>74</v>
      </c>
      <c r="P29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118</v>
      </c>
      <c r="Q29" s="41">
        <f>ROUNDDOWN(Table311[[#This Row],[To date quotas unused (Open quotas+ no shows)]]/Table311[[#This Row],[Quota per Offering]],0)</f>
        <v>2</v>
      </c>
      <c r="R29" s="39">
        <f t="shared" si="2"/>
        <v>501</v>
      </c>
      <c r="S29" s="41">
        <f ca="1">COUNTIFS(Table2[Course Title],Table311[[#This Row],[Courses - Planned vs Need (Active Courses)]],Table2[Roster Status],"1",Table2[Remaining Courses],"0")</f>
        <v>1</v>
      </c>
      <c r="T29" s="41">
        <f ca="1">COUNTIFS(Table2[Course Title],Table311[[#This Row],[Courses - Planned vs Need (Active Courses)]],Table2[Remaining Courses],"1")</f>
        <v>9</v>
      </c>
      <c r="U29" s="42">
        <f t="shared" si="3"/>
        <v>0.32930232558139533</v>
      </c>
      <c r="V2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0.70864197530864192</v>
      </c>
      <c r="W2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0.81728395061728398</v>
      </c>
      <c r="X29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195</v>
      </c>
      <c r="Y29" s="41">
        <f t="shared" ca="1" si="4"/>
        <v>450</v>
      </c>
      <c r="Z29" s="41">
        <f>Table311[[#This Row],[Fleet Quota Need]]-Table311[[#This Row],[Total Grads]]</f>
        <v>721</v>
      </c>
      <c r="AA29" s="26"/>
    </row>
    <row r="30" spans="2:27" ht="31.5" x14ac:dyDescent="0.25">
      <c r="B30" s="51" t="s">
        <v>51</v>
      </c>
      <c r="C30" s="37"/>
      <c r="D30" s="37" t="s">
        <v>90</v>
      </c>
      <c r="E30" s="37">
        <f>COUNTIF(Table2[Course Title],Table311[[#This Row],[Courses - Planned vs Need (Active Courses)]])</f>
        <v>15</v>
      </c>
      <c r="F30" s="37">
        <v>45</v>
      </c>
      <c r="G30" s="37">
        <f>Table311[[#This Row],[Course Offerings]]*Table311[[#This Row],[Quota per Offering]]</f>
        <v>675</v>
      </c>
      <c r="H30" s="349">
        <v>553</v>
      </c>
      <c r="I30" s="37">
        <f t="shared" si="0"/>
        <v>122</v>
      </c>
      <c r="J30" s="40">
        <f t="shared" si="1"/>
        <v>1.2206148282097649</v>
      </c>
      <c r="K30" s="38">
        <f>SUMIF(Table2[Course Title],Table311[[#This Row],[Courses - Planned vs Need (Active Courses)]],Table2[Graduates])</f>
        <v>113</v>
      </c>
      <c r="L30" s="70">
        <f>SUMIF(Table2[Course Title],Table311[[#This Row],[Courses - Planned vs Need (Active Courses)]],Table2[Registered])</f>
        <v>196</v>
      </c>
      <c r="M30" s="70">
        <f>SUMIF(Table2[Course Title],Table311[[#This Row],[Courses - Planned vs Need (Active Courses)]],Table2[Waitlisted])</f>
        <v>0</v>
      </c>
      <c r="N30" s="70">
        <f>SUMIF(Table2[Course Title],Table311[[#This Row],[Courses - Planned vs Need (Active Courses)]],Table2[Walk-ins])</f>
        <v>1</v>
      </c>
      <c r="O30" s="39">
        <f>SUMIF(Table2[Course Title],Table311[[#This Row],[Courses - Planned vs Need (Active Courses)]],Table2[No Shows])</f>
        <v>21</v>
      </c>
      <c r="P30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173</v>
      </c>
      <c r="Q30" s="41">
        <f>ROUNDDOWN(Table311[[#This Row],[To date quotas unused (Open quotas+ no shows)]]/Table311[[#This Row],[Quota per Offering]],0)</f>
        <v>3</v>
      </c>
      <c r="R30" s="39">
        <f t="shared" si="2"/>
        <v>562</v>
      </c>
      <c r="S30" s="41">
        <f ca="1">COUNTIFS(Table2[Course Title],Table311[[#This Row],[Courses - Planned vs Need (Active Courses)]],Table2[Roster Status],"1",Table2[Remaining Courses],"0")</f>
        <v>1</v>
      </c>
      <c r="T30" s="41">
        <f ca="1">COUNTIFS(Table2[Course Title],Table311[[#This Row],[Courses - Planned vs Need (Active Courses)]],Table2[Remaining Courses],"1")</f>
        <v>8</v>
      </c>
      <c r="U30" s="42">
        <f t="shared" si="3"/>
        <v>0.20433996383363473</v>
      </c>
      <c r="V3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0.35925925925925928</v>
      </c>
      <c r="W3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0.92222222222222228</v>
      </c>
      <c r="X30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321</v>
      </c>
      <c r="Y30" s="41">
        <f t="shared" ca="1" si="4"/>
        <v>405</v>
      </c>
      <c r="Z30" s="41">
        <f>Table311[[#This Row],[Fleet Quota Need]]-Table311[[#This Row],[Total Grads]]</f>
        <v>440</v>
      </c>
      <c r="AA30" s="26"/>
    </row>
    <row r="31" spans="2:27" ht="31.5" x14ac:dyDescent="0.25">
      <c r="B31" s="51" t="s">
        <v>59</v>
      </c>
      <c r="C31" s="37"/>
      <c r="D31" s="37" t="s">
        <v>515</v>
      </c>
      <c r="E31" s="37">
        <f>COUNTIF(Table2[Course Title],Table311[[#This Row],[Courses - Planned vs Need (Active Courses)]])</f>
        <v>27</v>
      </c>
      <c r="F31" s="37">
        <v>45</v>
      </c>
      <c r="G31" s="37">
        <f>Table311[[#This Row],[Course Offerings]]*Table311[[#This Row],[Quota per Offering]]</f>
        <v>1215</v>
      </c>
      <c r="H31" s="349">
        <v>1606</v>
      </c>
      <c r="I31" s="37">
        <f t="shared" si="0"/>
        <v>-391</v>
      </c>
      <c r="J31" s="40">
        <f t="shared" si="1"/>
        <v>0.75653798256537985</v>
      </c>
      <c r="K31" s="38">
        <f>SUMIF(Table2[Course Title],Table311[[#This Row],[Courses - Planned vs Need (Active Courses)]],Table2[Graduates])</f>
        <v>565</v>
      </c>
      <c r="L31" s="70">
        <f ca="1">SUMIF(Table2[Course Title],Table311[[#This Row],[Courses - Planned vs Need (Active Courses)]],Table2[Registered])</f>
        <v>812</v>
      </c>
      <c r="M31" s="70">
        <f>SUMIF(Table2[Course Title],Table311[[#This Row],[Courses - Planned vs Need (Active Courses)]],Table2[Waitlisted])</f>
        <v>29</v>
      </c>
      <c r="N31" s="70">
        <f>SUMIF(Table2[Course Title],Table311[[#This Row],[Courses - Planned vs Need (Active Courses)]],Table2[Walk-ins])</f>
        <v>7</v>
      </c>
      <c r="O31" s="39">
        <f>SUMIF(Table2[Course Title],Table311[[#This Row],[Courses - Planned vs Need (Active Courses)]],Table2[No Shows])</f>
        <v>94</v>
      </c>
      <c r="P31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155</v>
      </c>
      <c r="Q31" s="41">
        <f>ROUNDDOWN(Table311[[#This Row],[To date quotas unused (Open quotas+ no shows)]]/Table311[[#This Row],[Quota per Offering]],0)</f>
        <v>3</v>
      </c>
      <c r="R31" s="39">
        <f t="shared" si="2"/>
        <v>650</v>
      </c>
      <c r="S31" s="41">
        <f ca="1">COUNTIFS(Table2[Course Title],Table311[[#This Row],[Courses - Planned vs Need (Active Courses)]],Table2[Roster Status],"1",Table2[Remaining Courses],"0")</f>
        <v>1</v>
      </c>
      <c r="T31" s="41">
        <f ca="1">COUNTIFS(Table2[Course Title],Table311[[#This Row],[Courses - Planned vs Need (Active Courses)]],Table2[Remaining Courses],"1")</f>
        <v>12</v>
      </c>
      <c r="U31" s="42">
        <f t="shared" si="3"/>
        <v>0.3518057285180573</v>
      </c>
      <c r="V3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0.75396825396825395</v>
      </c>
      <c r="W3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0.85079365079365077</v>
      </c>
      <c r="X31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324</v>
      </c>
      <c r="Y31" s="41">
        <f t="shared" ca="1" si="4"/>
        <v>585</v>
      </c>
      <c r="Z31" s="41">
        <f>Table311[[#This Row],[Fleet Quota Need]]-Table311[[#This Row],[Total Grads]]</f>
        <v>1041</v>
      </c>
      <c r="AA31" s="26"/>
    </row>
    <row r="32" spans="2:27" ht="31.5" x14ac:dyDescent="0.25">
      <c r="B32" s="62" t="s">
        <v>60</v>
      </c>
      <c r="C32" s="37" t="s">
        <v>18</v>
      </c>
      <c r="D32" s="37" t="s">
        <v>515</v>
      </c>
      <c r="E32" s="37">
        <f>COUNTIF(Table2[Course Title],Table311[[#This Row],[Courses - Planned vs Need (Active Courses)]])</f>
        <v>10</v>
      </c>
      <c r="F32" s="37">
        <v>30</v>
      </c>
      <c r="G32" s="37">
        <f>Table311[[#This Row],[Course Offerings]]*Table311[[#This Row],[Quota per Offering]]</f>
        <v>300</v>
      </c>
      <c r="H32" s="349">
        <v>614</v>
      </c>
      <c r="I32" s="37">
        <f t="shared" si="0"/>
        <v>-314</v>
      </c>
      <c r="J32" s="40">
        <f t="shared" si="1"/>
        <v>0.48859934853420195</v>
      </c>
      <c r="K32" s="38">
        <f>SUMIF(Table2[Course Title],Table311[[#This Row],[Courses - Planned vs Need (Active Courses)]],Table2[Graduates])</f>
        <v>60</v>
      </c>
      <c r="L32" s="70">
        <f>SUMIF(Table2[Course Title],Table311[[#This Row],[Courses - Planned vs Need (Active Courses)]],Table2[Registered])</f>
        <v>121</v>
      </c>
      <c r="M32" s="70">
        <f>SUMIF(Table2[Course Title],Table311[[#This Row],[Courses - Planned vs Need (Active Courses)]],Table2[Waitlisted])</f>
        <v>0</v>
      </c>
      <c r="N32" s="70">
        <f>SUMIF(Table2[Course Title],Table311[[#This Row],[Courses - Planned vs Need (Active Courses)]],Table2[Walk-ins])</f>
        <v>0</v>
      </c>
      <c r="O32" s="39">
        <f>SUMIF(Table2[Course Title],Table311[[#This Row],[Courses - Planned vs Need (Active Courses)]],Table2[No Shows])</f>
        <v>16</v>
      </c>
      <c r="P32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106</v>
      </c>
      <c r="Q32" s="41">
        <f>ROUNDDOWN(Table311[[#This Row],[To date quotas unused (Open quotas+ no shows)]]/Table311[[#This Row],[Quota per Offering]],0)</f>
        <v>3</v>
      </c>
      <c r="R32" s="39">
        <f t="shared" si="2"/>
        <v>240</v>
      </c>
      <c r="S32" s="41">
        <f ca="1">COUNTIFS(Table2[Course Title],Table311[[#This Row],[Courses - Planned vs Need (Active Courses)]],Table2[Roster Status],"1",Table2[Remaining Courses],"0")</f>
        <v>0</v>
      </c>
      <c r="T32" s="41">
        <f ca="1">COUNTIFS(Table2[Course Title],Table311[[#This Row],[Courses - Planned vs Need (Active Courses)]],Table2[Remaining Courses],"1")</f>
        <v>5</v>
      </c>
      <c r="U32" s="42">
        <f t="shared" si="3"/>
        <v>9.7719869706840393E-2</v>
      </c>
      <c r="V3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0.29333333333333333</v>
      </c>
      <c r="W3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0.89333333333333331</v>
      </c>
      <c r="X32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102</v>
      </c>
      <c r="Y32" s="41">
        <f t="shared" ca="1" si="4"/>
        <v>150</v>
      </c>
      <c r="Z32" s="41">
        <f>Table311[[#This Row],[Fleet Quota Need]]-Table311[[#This Row],[Total Grads]]</f>
        <v>554</v>
      </c>
      <c r="AA32" s="26"/>
    </row>
    <row r="33" spans="2:27" ht="15.75" x14ac:dyDescent="0.25">
      <c r="B33" s="51" t="s">
        <v>61</v>
      </c>
      <c r="C33" s="37"/>
      <c r="D33" s="37" t="s">
        <v>515</v>
      </c>
      <c r="E33" s="37">
        <f>COUNTIF(Table2[Course Title],Table311[[#This Row],[Courses - Planned vs Need (Active Courses)]])</f>
        <v>23</v>
      </c>
      <c r="F33" s="37">
        <v>45</v>
      </c>
      <c r="G33" s="37">
        <f>Table311[[#This Row],[Course Offerings]]*Table311[[#This Row],[Quota per Offering]]</f>
        <v>1035</v>
      </c>
      <c r="H33" s="349">
        <v>1162</v>
      </c>
      <c r="I33" s="37">
        <f t="shared" si="0"/>
        <v>-127</v>
      </c>
      <c r="J33" s="40">
        <f t="shared" si="1"/>
        <v>0.89070567986230642</v>
      </c>
      <c r="K33" s="38">
        <f>SUMIF(Table2[Course Title],Table311[[#This Row],[Courses - Planned vs Need (Active Courses)]],Table2[Graduates])</f>
        <v>421</v>
      </c>
      <c r="L33" s="70">
        <f ca="1">SUMIF(Table2[Course Title],Table311[[#This Row],[Courses - Planned vs Need (Active Courses)]],Table2[Registered])</f>
        <v>583</v>
      </c>
      <c r="M33" s="70">
        <f>SUMIF(Table2[Course Title],Table311[[#This Row],[Courses - Planned vs Need (Active Courses)]],Table2[Waitlisted])</f>
        <v>10</v>
      </c>
      <c r="N33" s="70">
        <f>SUMIF(Table2[Course Title],Table311[[#This Row],[Courses - Planned vs Need (Active Courses)]],Table2[Walk-ins])</f>
        <v>9</v>
      </c>
      <c r="O33" s="39">
        <f>SUMIF(Table2[Course Title],Table311[[#This Row],[Courses - Planned vs Need (Active Courses)]],Table2[No Shows])</f>
        <v>63</v>
      </c>
      <c r="P33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179</v>
      </c>
      <c r="Q33" s="41">
        <f>ROUNDDOWN(Table311[[#This Row],[To date quotas unused (Open quotas+ no shows)]]/Table311[[#This Row],[Quota per Offering]],0)</f>
        <v>3</v>
      </c>
      <c r="R33" s="39">
        <f t="shared" si="2"/>
        <v>614</v>
      </c>
      <c r="S33" s="41">
        <f ca="1">COUNTIFS(Table2[Course Title],Table311[[#This Row],[Courses - Planned vs Need (Active Courses)]],Table2[Roster Status],"1",Table2[Remaining Courses],"0")</f>
        <v>1</v>
      </c>
      <c r="T33" s="41">
        <f ca="1">COUNTIFS(Table2[Course Title],Table311[[#This Row],[Courses - Planned vs Need (Active Courses)]],Table2[Remaining Courses],"1")</f>
        <v>10</v>
      </c>
      <c r="U33" s="42">
        <f t="shared" si="3"/>
        <v>0.3623063683304647</v>
      </c>
      <c r="V3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0.66851851851851851</v>
      </c>
      <c r="W3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0.8833333333333333</v>
      </c>
      <c r="X33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364</v>
      </c>
      <c r="Y33" s="41">
        <f t="shared" ca="1" si="4"/>
        <v>495</v>
      </c>
      <c r="Z33" s="41">
        <f>Table311[[#This Row],[Fleet Quota Need]]-Table311[[#This Row],[Total Grads]]</f>
        <v>741</v>
      </c>
      <c r="AA33" s="26"/>
    </row>
    <row r="34" spans="2:27" ht="31.5" x14ac:dyDescent="0.25">
      <c r="B34" s="51" t="s">
        <v>52</v>
      </c>
      <c r="C34" s="37"/>
      <c r="D34" s="37" t="s">
        <v>90</v>
      </c>
      <c r="E34" s="37">
        <f>COUNTIF(Table2[Course Title],Table311[[#This Row],[Courses - Planned vs Need (Active Courses)]])</f>
        <v>16</v>
      </c>
      <c r="F34" s="37">
        <v>45</v>
      </c>
      <c r="G34" s="37">
        <f>Table311[[#This Row],[Course Offerings]]*Table311[[#This Row],[Quota per Offering]]</f>
        <v>720</v>
      </c>
      <c r="H34" s="349">
        <v>685</v>
      </c>
      <c r="I34" s="37">
        <f t="shared" si="0"/>
        <v>35</v>
      </c>
      <c r="J34" s="40">
        <f t="shared" si="1"/>
        <v>1.051094890510949</v>
      </c>
      <c r="K34" s="38">
        <f>SUMIF(Table2[Course Title],Table311[[#This Row],[Courses - Planned vs Need (Active Courses)]],Table2[Graduates])</f>
        <v>109</v>
      </c>
      <c r="L34" s="70">
        <f ca="1">SUMIF(Table2[Course Title],Table311[[#This Row],[Courses - Planned vs Need (Active Courses)]],Table2[Registered])</f>
        <v>172</v>
      </c>
      <c r="M34" s="70">
        <f>SUMIF(Table2[Course Title],Table311[[#This Row],[Courses - Planned vs Need (Active Courses)]],Table2[Waitlisted])</f>
        <v>0</v>
      </c>
      <c r="N34" s="70">
        <f>SUMIF(Table2[Course Title],Table311[[#This Row],[Courses - Planned vs Need (Active Courses)]],Table2[Walk-ins])</f>
        <v>0</v>
      </c>
      <c r="O34" s="39">
        <f>SUMIF(Table2[Course Title],Table311[[#This Row],[Courses - Planned vs Need (Active Courses)]],Table2[No Shows])</f>
        <v>23</v>
      </c>
      <c r="P34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224</v>
      </c>
      <c r="Q34" s="41">
        <f>ROUNDDOWN(Table311[[#This Row],[To date quotas unused (Open quotas+ no shows)]]/Table311[[#This Row],[Quota per Offering]],0)</f>
        <v>4</v>
      </c>
      <c r="R34" s="39">
        <f t="shared" si="2"/>
        <v>611</v>
      </c>
      <c r="S34" s="41">
        <f ca="1">COUNTIFS(Table2[Course Title],Table311[[#This Row],[Courses - Planned vs Need (Active Courses)]],Table2[Roster Status],"1",Table2[Remaining Courses],"0")</f>
        <v>0</v>
      </c>
      <c r="T34" s="41">
        <f ca="1">COUNTIFS(Table2[Course Title],Table311[[#This Row],[Courses - Planned vs Need (Active Courses)]],Table2[Remaining Courses],"1")</f>
        <v>9</v>
      </c>
      <c r="U34" s="42">
        <f t="shared" si="3"/>
        <v>0.15912408759124089</v>
      </c>
      <c r="V3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0.28888888888888886</v>
      </c>
      <c r="W3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0.92698412698412702</v>
      </c>
      <c r="X34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343</v>
      </c>
      <c r="Y34" s="41">
        <f t="shared" ca="1" si="4"/>
        <v>405</v>
      </c>
      <c r="Z34" s="41">
        <f>Table311[[#This Row],[Fleet Quota Need]]-Table311[[#This Row],[Total Grads]]</f>
        <v>576</v>
      </c>
      <c r="AA34" s="26"/>
    </row>
    <row r="35" spans="2:27" ht="31.5" x14ac:dyDescent="0.25">
      <c r="B35" s="62" t="s">
        <v>35</v>
      </c>
      <c r="C35" s="37" t="s">
        <v>18</v>
      </c>
      <c r="D35" s="37" t="s">
        <v>85</v>
      </c>
      <c r="E35" s="37">
        <f>COUNTIF(Table2[Course Title],Table311[[#This Row],[Courses - Planned vs Need (Active Courses)]])</f>
        <v>22</v>
      </c>
      <c r="F35" s="37">
        <v>30</v>
      </c>
      <c r="G35" s="37">
        <f>Table311[[#This Row],[Course Offerings]]*Table311[[#This Row],[Quota per Offering]]</f>
        <v>660</v>
      </c>
      <c r="H35" s="349">
        <v>987</v>
      </c>
      <c r="I35" s="37">
        <f t="shared" si="0"/>
        <v>-327</v>
      </c>
      <c r="J35" s="40">
        <f t="shared" si="1"/>
        <v>0.66869300911854102</v>
      </c>
      <c r="K35" s="38">
        <f>SUMIF(Table2[Course Title],Table311[[#This Row],[Courses - Planned vs Need (Active Courses)]],Table2[Graduates])</f>
        <v>52</v>
      </c>
      <c r="L35" s="70">
        <f ca="1">SUMIF(Table2[Course Title],Table311[[#This Row],[Courses - Planned vs Need (Active Courses)]],Table2[Registered])</f>
        <v>135</v>
      </c>
      <c r="M35" s="70">
        <f>SUMIF(Table2[Course Title],Table311[[#This Row],[Courses - Planned vs Need (Active Courses)]],Table2[Waitlisted])</f>
        <v>0</v>
      </c>
      <c r="N35" s="70">
        <f>SUMIF(Table2[Course Title],Table311[[#This Row],[Courses - Planned vs Need (Active Courses)]],Table2[Walk-ins])</f>
        <v>29</v>
      </c>
      <c r="O35" s="39">
        <f>SUMIF(Table2[Course Title],Table311[[#This Row],[Courses - Planned vs Need (Active Courses)]],Table2[No Shows])</f>
        <v>17</v>
      </c>
      <c r="P35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98</v>
      </c>
      <c r="Q35" s="41">
        <f>ROUNDDOWN(Table311[[#This Row],[To date quotas unused (Open quotas+ no shows)]]/Table311[[#This Row],[Quota per Offering]],0)</f>
        <v>3</v>
      </c>
      <c r="R35" s="39">
        <f t="shared" si="2"/>
        <v>608</v>
      </c>
      <c r="S35" s="41">
        <f ca="1">COUNTIFS(Table2[Course Title],Table311[[#This Row],[Courses - Planned vs Need (Active Courses)]],Table2[Roster Status],"1",Table2[Remaining Courses],"0")</f>
        <v>2</v>
      </c>
      <c r="T35" s="41">
        <f ca="1">COUNTIFS(Table2[Course Title],Table311[[#This Row],[Courses - Planned vs Need (Active Courses)]],Table2[Remaining Courses],"1")</f>
        <v>16</v>
      </c>
      <c r="U35" s="42">
        <f t="shared" si="3"/>
        <v>5.2684903748733539E-2</v>
      </c>
      <c r="V3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0.18333333333333332</v>
      </c>
      <c r="W3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0.85833333333333328</v>
      </c>
      <c r="X35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412</v>
      </c>
      <c r="Y35" s="41">
        <f t="shared" ca="1" si="4"/>
        <v>540</v>
      </c>
      <c r="Z35" s="41">
        <f>Table311[[#This Row],[Fleet Quota Need]]-Table311[[#This Row],[Total Grads]]</f>
        <v>935</v>
      </c>
      <c r="AA35" s="26"/>
    </row>
    <row r="36" spans="2:27" ht="47.25" x14ac:dyDescent="0.25">
      <c r="B36" s="51" t="s">
        <v>39</v>
      </c>
      <c r="C36" s="37"/>
      <c r="D36" s="37" t="s">
        <v>514</v>
      </c>
      <c r="E36" s="37">
        <f>COUNTIF(Table2[Course Title],Table311[[#This Row],[Courses - Planned vs Need (Active Courses)]])</f>
        <v>18</v>
      </c>
      <c r="F36" s="182">
        <v>45</v>
      </c>
      <c r="G36" s="37">
        <f>Table311[[#This Row],[Course Offerings]]*Table311[[#This Row],[Quota per Offering]]</f>
        <v>810</v>
      </c>
      <c r="H36" s="349">
        <v>808</v>
      </c>
      <c r="I36" s="37">
        <f t="shared" si="0"/>
        <v>2</v>
      </c>
      <c r="J36" s="40">
        <f t="shared" si="1"/>
        <v>1.0024752475247525</v>
      </c>
      <c r="K36" s="38">
        <f>SUMIF(Table2[Course Title],Table311[[#This Row],[Courses - Planned vs Need (Active Courses)]],Table2[Graduates])</f>
        <v>173</v>
      </c>
      <c r="L36" s="70">
        <f ca="1">SUMIF(Table2[Course Title],Table311[[#This Row],[Courses - Planned vs Need (Active Courses)]],Table2[Registered])</f>
        <v>292</v>
      </c>
      <c r="M36" s="70">
        <f>SUMIF(Table2[Course Title],Table311[[#This Row],[Courses - Planned vs Need (Active Courses)]],Table2[Waitlisted])</f>
        <v>0</v>
      </c>
      <c r="N36" s="70">
        <f>SUMIF(Table2[Course Title],Table311[[#This Row],[Courses - Planned vs Need (Active Courses)]],Table2[Walk-ins])</f>
        <v>2</v>
      </c>
      <c r="O36" s="39">
        <f>SUMIF(Table2[Course Title],Table311[[#This Row],[Courses - Planned vs Need (Active Courses)]],Table2[No Shows])</f>
        <v>45</v>
      </c>
      <c r="P36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345</v>
      </c>
      <c r="Q36" s="41">
        <f>ROUNDDOWN(Table311[[#This Row],[To date quotas unused (Open quotas+ no shows)]]/Table311[[#This Row],[Quota per Offering]],0)</f>
        <v>7</v>
      </c>
      <c r="R36" s="39">
        <f t="shared" si="2"/>
        <v>637</v>
      </c>
      <c r="S36" s="41">
        <f ca="1">COUNTIFS(Table2[Course Title],Table311[[#This Row],[Courses - Planned vs Need (Active Courses)]],Table2[Roster Status],"1",Table2[Remaining Courses],"0")</f>
        <v>0</v>
      </c>
      <c r="T36" s="41">
        <f ca="1">COUNTIFS(Table2[Course Title],Table311[[#This Row],[Courses - Planned vs Need (Active Courses)]],Table2[Remaining Courses],"1")</f>
        <v>7</v>
      </c>
      <c r="U36" s="42">
        <f t="shared" si="3"/>
        <v>0.2141089108910891</v>
      </c>
      <c r="V3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0.30303030303030304</v>
      </c>
      <c r="W3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0.90909090909090906</v>
      </c>
      <c r="X36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239</v>
      </c>
      <c r="Y36" s="41">
        <f t="shared" ca="1" si="4"/>
        <v>315</v>
      </c>
      <c r="Z36" s="41">
        <f>Table311[[#This Row],[Fleet Quota Need]]-Table311[[#This Row],[Total Grads]]</f>
        <v>635</v>
      </c>
      <c r="AA36" s="26"/>
    </row>
    <row r="37" spans="2:27" ht="31.5" x14ac:dyDescent="0.25">
      <c r="B37" s="51" t="s">
        <v>53</v>
      </c>
      <c r="C37" s="37"/>
      <c r="D37" s="37" t="s">
        <v>90</v>
      </c>
      <c r="E37" s="37">
        <f>COUNTIF(Table2[Course Title],Table311[[#This Row],[Courses - Planned vs Need (Active Courses)]])</f>
        <v>25</v>
      </c>
      <c r="F37" s="37">
        <v>30</v>
      </c>
      <c r="G37" s="37">
        <f>Table311[[#This Row],[Course Offerings]]*Table311[[#This Row],[Quota per Offering]]</f>
        <v>750</v>
      </c>
      <c r="H37" s="349">
        <v>1437</v>
      </c>
      <c r="I37" s="37">
        <f t="shared" si="0"/>
        <v>-687</v>
      </c>
      <c r="J37" s="40">
        <f t="shared" si="1"/>
        <v>0.52192066805845516</v>
      </c>
      <c r="K37" s="38">
        <f>SUMIF(Table2[Course Title],Table311[[#This Row],[Courses - Planned vs Need (Active Courses)]],Table2[Graduates])</f>
        <v>285</v>
      </c>
      <c r="L37" s="70">
        <f ca="1">SUMIF(Table2[Course Title],Table311[[#This Row],[Courses - Planned vs Need (Active Courses)]],Table2[Registered])</f>
        <v>381</v>
      </c>
      <c r="M37" s="70">
        <f>SUMIF(Table2[Course Title],Table311[[#This Row],[Courses - Planned vs Need (Active Courses)]],Table2[Waitlisted])</f>
        <v>9</v>
      </c>
      <c r="N37" s="70">
        <f>SUMIF(Table2[Course Title],Table311[[#This Row],[Courses - Planned vs Need (Active Courses)]],Table2[Walk-ins])</f>
        <v>25</v>
      </c>
      <c r="O37" s="39">
        <f>SUMIF(Table2[Course Title],Table311[[#This Row],[Courses - Planned vs Need (Active Courses)]],Table2[No Shows])</f>
        <v>47</v>
      </c>
      <c r="P37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148</v>
      </c>
      <c r="Q37" s="41">
        <f>ROUNDDOWN(Table311[[#This Row],[To date quotas unused (Open quotas+ no shows)]]/Table311[[#This Row],[Quota per Offering]],0)</f>
        <v>4</v>
      </c>
      <c r="R37" s="39">
        <f t="shared" si="2"/>
        <v>465</v>
      </c>
      <c r="S37" s="41">
        <f ca="1">COUNTIFS(Table2[Course Title],Table311[[#This Row],[Courses - Planned vs Need (Active Courses)]],Table2[Roster Status],"1",Table2[Remaining Courses],"0")</f>
        <v>0</v>
      </c>
      <c r="T37" s="41">
        <f ca="1">COUNTIFS(Table2[Course Title],Table311[[#This Row],[Courses - Planned vs Need (Active Courses)]],Table2[Remaining Courses],"1")</f>
        <v>12</v>
      </c>
      <c r="U37" s="42">
        <f t="shared" si="3"/>
        <v>0.19832985386221294</v>
      </c>
      <c r="V3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0.62051282051282053</v>
      </c>
      <c r="W3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0.87948717948717947</v>
      </c>
      <c r="X37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240</v>
      </c>
      <c r="Y37" s="41">
        <f t="shared" ca="1" si="4"/>
        <v>360</v>
      </c>
      <c r="Z37" s="41">
        <f>Table311[[#This Row],[Fleet Quota Need]]-Table311[[#This Row],[Total Grads]]</f>
        <v>1152</v>
      </c>
      <c r="AA37" s="26"/>
    </row>
    <row r="38" spans="2:27" ht="15.75" x14ac:dyDescent="0.25">
      <c r="B38" s="51" t="s">
        <v>338</v>
      </c>
      <c r="C38" s="37"/>
      <c r="D38" s="37" t="s">
        <v>514</v>
      </c>
      <c r="E38" s="37">
        <f>COUNTIF(Table2[Course Title],Table311[[#This Row],[Courses - Planned vs Need (Active Courses)]])</f>
        <v>4</v>
      </c>
      <c r="F38" s="37">
        <v>30</v>
      </c>
      <c r="G38" s="351">
        <f>Table311[[#This Row],[Course Offerings]]*Table311[[#This Row],[Quota per Offering]]</f>
        <v>120</v>
      </c>
      <c r="H38" s="350">
        <v>711</v>
      </c>
      <c r="I38" s="296">
        <f t="shared" si="0"/>
        <v>-591</v>
      </c>
      <c r="J38" s="40">
        <f t="shared" si="1"/>
        <v>0.16877637130801687</v>
      </c>
      <c r="K38" s="38">
        <f>SUMIF(Table2[Course Title],Table311[[#This Row],[Courses - Planned vs Need (Active Courses)]],Table2[Graduates])</f>
        <v>36</v>
      </c>
      <c r="L38" s="70">
        <f>SUMIF(Table2[Course Title],Table311[[#This Row],[Courses - Planned vs Need (Active Courses)]],Table2[Registered])</f>
        <v>76</v>
      </c>
      <c r="M38" s="70">
        <f>SUMIF(Table2[Course Title],Table311[[#This Row],[Courses - Planned vs Need (Active Courses)]],Table2[Waitlisted])</f>
        <v>68</v>
      </c>
      <c r="N38" s="70">
        <f>SUMIF(Table2[Course Title],Table311[[#This Row],[Courses - Planned vs Need (Active Courses)]],Table2[Walk-ins])</f>
        <v>0</v>
      </c>
      <c r="O38" s="39">
        <f>SUMIF(Table2[Course Title],Table311[[#This Row],[Courses - Planned vs Need (Active Courses)]],Table2[No Shows])</f>
        <v>0</v>
      </c>
      <c r="P38" s="4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4</v>
      </c>
      <c r="Q38" s="41">
        <f>ROUNDDOWN(Table311[[#This Row],[To date quotas unused (Open quotas+ no shows)]]/Table311[[#This Row],[Quota per Offering]],0)</f>
        <v>0</v>
      </c>
      <c r="R38" s="39">
        <f t="shared" si="2"/>
        <v>84</v>
      </c>
      <c r="S38" s="41">
        <f ca="1">COUNTIFS(Table2[Course Title],Table311[[#This Row],[Courses - Planned vs Need (Active Courses)]],Table2[Roster Status],"1",Table2[Remaining Courses],"0")</f>
        <v>0</v>
      </c>
      <c r="T38" s="41">
        <f ca="1">COUNTIFS(Table2[Course Title],Table311[[#This Row],[Courses - Planned vs Need (Active Courses)]],Table2[Remaining Courses],"1")</f>
        <v>2</v>
      </c>
      <c r="U38" s="297">
        <f t="shared" si="3"/>
        <v>5.0632911392405063E-2</v>
      </c>
      <c r="V3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0.93333333333333335</v>
      </c>
      <c r="W3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38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0</v>
      </c>
      <c r="Y38" s="41">
        <f t="shared" ca="1" si="4"/>
        <v>60</v>
      </c>
      <c r="Z38" s="41">
        <f>Table311[[#This Row],[Fleet Quota Need]]-Table311[[#This Row],[Total Grads]]</f>
        <v>675</v>
      </c>
      <c r="AA38" s="298"/>
    </row>
    <row r="39" spans="2:27" ht="31.5" x14ac:dyDescent="0.25">
      <c r="B39" s="51" t="s">
        <v>40</v>
      </c>
      <c r="C39" s="37"/>
      <c r="D39" s="37" t="s">
        <v>514</v>
      </c>
      <c r="E39" s="37">
        <f>COUNTIF(Table2[Course Title],Table311[[#This Row],[Courses - Planned vs Need (Active Courses)]])</f>
        <v>17</v>
      </c>
      <c r="F39" s="37">
        <v>100</v>
      </c>
      <c r="G39" s="351">
        <f>Table311[[#This Row],[Course Offerings]]*Table311[[#This Row],[Quota per Offering]]</f>
        <v>1700</v>
      </c>
      <c r="H39" s="349">
        <v>1601</v>
      </c>
      <c r="I39" s="37">
        <f t="shared" si="0"/>
        <v>99</v>
      </c>
      <c r="J39" s="40">
        <f t="shared" si="1"/>
        <v>1.0618363522798251</v>
      </c>
      <c r="K39" s="38">
        <f>SUMIF(Table2[Course Title],Table311[[#This Row],[Courses - Planned vs Need (Active Courses)]],Table2[Graduates])</f>
        <v>744</v>
      </c>
      <c r="L39" s="70">
        <f ca="1">SUMIF(Table2[Course Title],Table311[[#This Row],[Courses - Planned vs Need (Active Courses)]],Table2[Registered])</f>
        <v>1258</v>
      </c>
      <c r="M39" s="70">
        <f>SUMIF(Table2[Course Title],Table311[[#This Row],[Courses - Planned vs Need (Active Courses)]],Table2[Waitlisted])</f>
        <v>25</v>
      </c>
      <c r="N39" s="70">
        <f>SUMIF(Table2[Course Title],Table311[[#This Row],[Courses - Planned vs Need (Active Courses)]],Table2[Walk-ins])</f>
        <v>16</v>
      </c>
      <c r="O39" s="39">
        <f>SUMIF(Table2[Course Title],Table311[[#This Row],[Courses - Planned vs Need (Active Courses)]],Table2[No Shows])</f>
        <v>189</v>
      </c>
      <c r="P39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397</v>
      </c>
      <c r="Q39" s="41">
        <f>ROUNDDOWN(Table311[[#This Row],[To date quotas unused (Open quotas+ no shows)]]/Table311[[#This Row],[Quota per Offering]],0)</f>
        <v>3</v>
      </c>
      <c r="R39" s="39">
        <f t="shared" si="2"/>
        <v>956</v>
      </c>
      <c r="S39" s="41">
        <f ca="1">COUNTIFS(Table2[Course Title],Table311[[#This Row],[Courses - Planned vs Need (Active Courses)]],Table2[Roster Status],"1",Table2[Remaining Courses],"0")</f>
        <v>1</v>
      </c>
      <c r="T39" s="41">
        <f ca="1">COUNTIFS(Table2[Course Title],Table311[[#This Row],[Courses - Planned vs Need (Active Courses)]],Table2[Remaining Courses],"1")</f>
        <v>6</v>
      </c>
      <c r="U39" s="42">
        <f t="shared" si="3"/>
        <v>0.4647095565271705</v>
      </c>
      <c r="V3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0.60299999999999998</v>
      </c>
      <c r="W3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0.81100000000000005</v>
      </c>
      <c r="X39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281</v>
      </c>
      <c r="Y39" s="41">
        <f t="shared" ca="1" si="4"/>
        <v>700</v>
      </c>
      <c r="Z39" s="41">
        <f>Table311[[#This Row],[Fleet Quota Need]]-Table311[[#This Row],[Total Grads]]</f>
        <v>857</v>
      </c>
      <c r="AA39" s="25"/>
    </row>
    <row r="40" spans="2:27" ht="15.75" x14ac:dyDescent="0.25">
      <c r="B40" s="51" t="s">
        <v>342</v>
      </c>
      <c r="C40" s="37"/>
      <c r="D40" s="37" t="s">
        <v>514</v>
      </c>
      <c r="E40" s="37">
        <f>COUNTIF(Table2[Course Title],Table311[[#This Row],[Courses - Planned vs Need (Active Courses)]])</f>
        <v>2</v>
      </c>
      <c r="F40" s="37">
        <v>30</v>
      </c>
      <c r="G40" s="351">
        <f>Table311[[#This Row],[Course Offerings]]*Table311[[#This Row],[Quota per Offering]]</f>
        <v>60</v>
      </c>
      <c r="H40" s="350">
        <v>0</v>
      </c>
      <c r="I40" s="296">
        <f t="shared" si="0"/>
        <v>60</v>
      </c>
      <c r="J40" s="40" t="s">
        <v>516</v>
      </c>
      <c r="K40" s="38">
        <f>SUMIF(Table2[Course Title],Table311[[#This Row],[Courses - Planned vs Need (Active Courses)]],Table2[Graduates])</f>
        <v>46</v>
      </c>
      <c r="L40" s="70">
        <f>SUMIF(Table2[Course Title],Table311[[#This Row],[Courses - Planned vs Need (Active Courses)]],Table2[Registered])</f>
        <v>50</v>
      </c>
      <c r="M40" s="70">
        <f>SUMIF(Table2[Course Title],Table311[[#This Row],[Courses - Planned vs Need (Active Courses)]],Table2[Waitlisted])</f>
        <v>0</v>
      </c>
      <c r="N40" s="70">
        <f>SUMIF(Table2[Course Title],Table311[[#This Row],[Courses - Planned vs Need (Active Courses)]],Table2[Walk-ins])</f>
        <v>0</v>
      </c>
      <c r="O40" s="39">
        <f>SUMIF(Table2[Course Title],Table311[[#This Row],[Courses - Planned vs Need (Active Courses)]],Table2[No Shows])</f>
        <v>0</v>
      </c>
      <c r="P40" s="4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13</v>
      </c>
      <c r="Q40" s="41">
        <f>ROUNDDOWN(Table311[[#This Row],[To date quotas unused (Open quotas+ no shows)]]/Table311[[#This Row],[Quota per Offering]],0)</f>
        <v>0</v>
      </c>
      <c r="R40" s="39">
        <f t="shared" si="2"/>
        <v>14</v>
      </c>
      <c r="S40" s="41">
        <f>COUNTIFS(Table2[Course Title],Table311[[#This Row],[Courses - Planned vs Need (Active Courses)]],Table2[Roster Status],"1",Table2[Remaining Courses],"0")</f>
        <v>0</v>
      </c>
      <c r="T40" s="41">
        <f>COUNTIFS(Table2[Course Title],Table311[[#This Row],[Courses - Planned vs Need (Active Courses)]],Table2[Remaining Courses],"1")</f>
        <v>0</v>
      </c>
      <c r="U40" s="297">
        <v>1</v>
      </c>
      <c r="V40" s="42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0.78333333333333333</v>
      </c>
      <c r="W40" s="50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40" s="70">
        <f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0</v>
      </c>
      <c r="Y40" s="41">
        <f t="shared" si="4"/>
        <v>0</v>
      </c>
      <c r="Z40" s="41">
        <f>Table311[[#This Row],[Fleet Quota Need]]-Table311[[#This Row],[Total Grads]]</f>
        <v>-46</v>
      </c>
      <c r="AA40" s="25"/>
    </row>
    <row r="41" spans="2:27" ht="31.5" x14ac:dyDescent="0.25">
      <c r="B41" s="51" t="s">
        <v>54</v>
      </c>
      <c r="C41" s="37"/>
      <c r="D41" s="37" t="s">
        <v>514</v>
      </c>
      <c r="E41" s="37">
        <f>COUNTIF(Table2[Course Title],Table311[[#This Row],[Courses - Planned vs Need (Active Courses)]])</f>
        <v>4</v>
      </c>
      <c r="F41" s="37">
        <v>25</v>
      </c>
      <c r="G41" s="351">
        <f>Table311[[#This Row],[Course Offerings]]*Table311[[#This Row],[Quota per Offering]]</f>
        <v>100</v>
      </c>
      <c r="H41" s="349">
        <v>92</v>
      </c>
      <c r="I41" s="37">
        <f t="shared" si="0"/>
        <v>8</v>
      </c>
      <c r="J41" s="40">
        <f>SUM(G41/H41)</f>
        <v>1.0869565217391304</v>
      </c>
      <c r="K41" s="38">
        <f>SUMIF(Table2[Course Title],Table311[[#This Row],[Courses - Planned vs Need (Active Courses)]],Table2[Graduates])</f>
        <v>22</v>
      </c>
      <c r="L41" s="70">
        <f>SUMIF(Table2[Course Title],Table311[[#This Row],[Courses - Planned vs Need (Active Courses)]],Table2[Registered])</f>
        <v>49</v>
      </c>
      <c r="M41" s="70">
        <f>SUMIF(Table2[Course Title],Table311[[#This Row],[Courses - Planned vs Need (Active Courses)]],Table2[Waitlisted])</f>
        <v>0</v>
      </c>
      <c r="N41" s="70">
        <f>SUMIF(Table2[Course Title],Table311[[#This Row],[Courses - Planned vs Need (Active Courses)]],Table2[Walk-ins])</f>
        <v>0</v>
      </c>
      <c r="O41" s="39">
        <f>SUMIF(Table2[Course Title],Table311[[#This Row],[Courses - Planned vs Need (Active Courses)]],Table2[No Shows])</f>
        <v>9</v>
      </c>
      <c r="P41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77</v>
      </c>
      <c r="Q41" s="41">
        <f>ROUNDDOWN(Table311[[#This Row],[To date quotas unused (Open quotas+ no shows)]]/Table311[[#This Row],[Quota per Offering]],0)</f>
        <v>3</v>
      </c>
      <c r="R41" s="39">
        <f t="shared" si="2"/>
        <v>78</v>
      </c>
      <c r="S41" s="41">
        <f ca="1">COUNTIFS(Table2[Course Title],Table311[[#This Row],[Courses - Planned vs Need (Active Courses)]],Table2[Roster Status],"1",Table2[Remaining Courses],"0")</f>
        <v>0</v>
      </c>
      <c r="T41" s="41">
        <f ca="1">COUNTIFS(Table2[Course Title],Table311[[#This Row],[Courses - Planned vs Need (Active Courses)]],Table2[Remaining Courses],"1")</f>
        <v>2</v>
      </c>
      <c r="U41" s="42">
        <f>SUM(K41/H41)</f>
        <v>0.2391304347826087</v>
      </c>
      <c r="V4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-0.54</v>
      </c>
      <c r="W4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0.82</v>
      </c>
      <c r="X41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69</v>
      </c>
      <c r="Y41" s="41">
        <f t="shared" ca="1" si="4"/>
        <v>50</v>
      </c>
      <c r="Z41" s="41">
        <f>Table311[[#This Row],[Fleet Quota Need]]-Table311[[#This Row],[Total Grads]]</f>
        <v>70</v>
      </c>
      <c r="AA41" s="25"/>
    </row>
    <row r="42" spans="2:27" ht="15.75" x14ac:dyDescent="0.25">
      <c r="B42" s="62" t="s">
        <v>36</v>
      </c>
      <c r="C42" s="37" t="s">
        <v>18</v>
      </c>
      <c r="D42" s="37" t="s">
        <v>85</v>
      </c>
      <c r="E42" s="37">
        <f>COUNTIF(Table2[Course Title],Table311[[#This Row],[Courses - Planned vs Need (Active Courses)]])</f>
        <v>6</v>
      </c>
      <c r="F42" s="37">
        <v>25</v>
      </c>
      <c r="G42" s="37">
        <f>Table311[[#This Row],[Course Offerings]]*Table311[[#This Row],[Quota per Offering]]</f>
        <v>150</v>
      </c>
      <c r="H42" s="349">
        <v>397</v>
      </c>
      <c r="I42" s="37">
        <f t="shared" si="0"/>
        <v>-247</v>
      </c>
      <c r="J42" s="40">
        <f>SUM(G42/H42)</f>
        <v>0.37783375314861462</v>
      </c>
      <c r="K42" s="38">
        <f>SUMIF(Table2[Course Title],Table311[[#This Row],[Courses - Planned vs Need (Active Courses)]],Table2[Graduates])</f>
        <v>6</v>
      </c>
      <c r="L42" s="70">
        <f>SUMIF(Table2[Course Title],Table311[[#This Row],[Courses - Planned vs Need (Active Courses)]],Table2[Registered])</f>
        <v>72</v>
      </c>
      <c r="M42" s="70">
        <f>SUMIF(Table2[Course Title],Table311[[#This Row],[Courses - Planned vs Need (Active Courses)]],Table2[Waitlisted])</f>
        <v>0</v>
      </c>
      <c r="N42" s="70">
        <f>SUMIF(Table2[Course Title],Table311[[#This Row],[Courses - Planned vs Need (Active Courses)]],Table2[Walk-ins])</f>
        <v>0</v>
      </c>
      <c r="O42" s="39">
        <f>SUMIF(Table2[Course Title],Table311[[#This Row],[Courses - Planned vs Need (Active Courses)]],Table2[No Shows])</f>
        <v>5</v>
      </c>
      <c r="P42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24</v>
      </c>
      <c r="Q42" s="41">
        <f>ROUNDDOWN(Table311[[#This Row],[To date quotas unused (Open quotas+ no shows)]]/Table311[[#This Row],[Quota per Offering]],0)</f>
        <v>0</v>
      </c>
      <c r="R42" s="39">
        <f t="shared" si="2"/>
        <v>144</v>
      </c>
      <c r="S42" s="41">
        <f ca="1">COUNTIFS(Table2[Course Title],Table311[[#This Row],[Courses - Planned vs Need (Active Courses)]],Table2[Roster Status],"1",Table2[Remaining Courses],"0")</f>
        <v>0</v>
      </c>
      <c r="T42" s="41">
        <f ca="1">COUNTIFS(Table2[Course Title],Table311[[#This Row],[Courses - Planned vs Need (Active Courses)]],Table2[Remaining Courses],"1")</f>
        <v>5</v>
      </c>
      <c r="U42" s="42">
        <f>SUM(K42/H42)</f>
        <v>1.5113350125944584E-2</v>
      </c>
      <c r="V4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0.04</v>
      </c>
      <c r="W4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</v>
      </c>
      <c r="X42" s="70">
        <f ca="1">(SUMIFS(Table2[Open Quotas],Table2[Course Title],Table311[[#This Row],[Courses - Planned vs Need (Active Courses)]],Table2[Remaining Courses],"1",Table2[QTR],"3"))+SUMIFS(Table2[Open Quotas],Table2[Course Title],Table311[[#This Row],[Courses - Planned vs Need (Active Courses)]],Table2[Remaining Courses],"1",Table2[QTR],"4")</f>
        <v>62</v>
      </c>
      <c r="Y42" s="41">
        <f t="shared" ca="1" si="4"/>
        <v>125</v>
      </c>
      <c r="Z42" s="41">
        <f>Table311[[#This Row],[Fleet Quota Need]]-Table311[[#This Row],[Total Grads]]</f>
        <v>391</v>
      </c>
      <c r="AA42" s="32"/>
    </row>
    <row r="43" spans="2:27" ht="15.75" x14ac:dyDescent="0.25">
      <c r="B43" s="53" t="s">
        <v>62</v>
      </c>
      <c r="C43" s="54"/>
      <c r="D43" s="54"/>
      <c r="E43" s="54">
        <f>SUM(Table311[Course Offerings])</f>
        <v>496</v>
      </c>
      <c r="F43" s="54">
        <f>SUM(Table311[Quota per Offering])</f>
        <v>1350</v>
      </c>
      <c r="G43" s="54">
        <f>SUM(Table311[Planned Quotas])</f>
        <v>19050</v>
      </c>
      <c r="H43" s="54">
        <f>SUM(Table311[Fleet Quota Need])</f>
        <v>27575</v>
      </c>
      <c r="I43" s="54">
        <f>SUM(Table311[Difference])</f>
        <v>-8525</v>
      </c>
      <c r="J43" s="57">
        <f>G43/H43</f>
        <v>0.69084315503173166</v>
      </c>
      <c r="K43" s="55">
        <f>SUM(Table311[Total Grads])</f>
        <v>5595</v>
      </c>
      <c r="L43" s="55">
        <f ca="1">SUM(Table311[Total Registered])</f>
        <v>8745</v>
      </c>
      <c r="M43" s="55">
        <f>SUM(Table311[Total Waitlisted])</f>
        <v>248</v>
      </c>
      <c r="N43" s="55">
        <f>SUM(Table311[Total Walk-in])</f>
        <v>225</v>
      </c>
      <c r="O43" s="55">
        <f>SUM(Table311[No Shows])</f>
        <v>1108</v>
      </c>
      <c r="P43" s="55">
        <f>SUM(Table311[To date quotas unused (Open quotas+ no shows)])</f>
        <v>4459</v>
      </c>
      <c r="Q43" s="55">
        <f>SUM(Table311[Sunk Courses due to unused quotas todate])</f>
        <v>100</v>
      </c>
      <c r="R43" s="208">
        <f>SUM(Table311[Grads needed this FY towards planned quotas])</f>
        <v>13455</v>
      </c>
      <c r="S43" s="55">
        <f ca="1">SUM(Table311['# of course completion reports to be processed])</f>
        <v>21</v>
      </c>
      <c r="T43" s="55">
        <f ca="1">SUM(Table311['# of courses remaining])</f>
        <v>247</v>
      </c>
      <c r="U43" s="58">
        <f>K43/H43</f>
        <v>0.2029011786038078</v>
      </c>
      <c r="V43" s="58"/>
      <c r="W43" s="58"/>
      <c r="X43" s="56">
        <f ca="1">SUM(Table311[Remaining FY25 QTR 3/QTR 4 Open Quotas])</f>
        <v>6628</v>
      </c>
      <c r="Y43" s="209">
        <f ca="1">SUM(Table311['# of additional grads if all quotas are filled of course results remaining to be processed])</f>
        <v>10075</v>
      </c>
      <c r="Z43" s="209">
        <f>SUM(Table311[Difference between completed and fleet need of completed, potentially remaining quotas, and processed courses])</f>
        <v>21980</v>
      </c>
      <c r="AA43" s="56"/>
    </row>
  </sheetData>
  <mergeCells count="3">
    <mergeCell ref="B3:J3"/>
    <mergeCell ref="K3:U3"/>
    <mergeCell ref="X3:AA3"/>
  </mergeCells>
  <conditionalFormatting sqref="C5:G42 I5:I42 K5:O42 R5:U42 Y5:Z42">
    <cfRule type="cellIs" dxfId="588" priority="6" operator="lessThan">
      <formula>0</formula>
    </cfRule>
  </conditionalFormatting>
  <conditionalFormatting sqref="J5:J42 U5:U42">
    <cfRule type="cellIs" dxfId="587" priority="5" operator="lessThan">
      <formula>1</formula>
    </cfRule>
  </conditionalFormatting>
  <conditionalFormatting sqref="X5:X42">
    <cfRule type="cellIs" dxfId="586" priority="1" operator="greaterThan">
      <formula>0</formula>
    </cfRule>
  </conditionalFormatting>
  <dataValidations count="1">
    <dataValidation type="list" allowBlank="1" showInputMessage="1" showErrorMessage="1" sqref="B5:B42" xr:uid="{00000000-0002-0000-0800-000000000000}">
      <formula1>Class</formula1>
    </dataValidation>
  </dataValidations>
  <pageMargins left="0.25" right="0.25" top="0.75" bottom="0.75" header="0.3" footer="0.3"/>
  <pageSetup paperSize="5" scale="47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C14ED-FB60-41DF-ADCC-F16231C9FD91}">
  <sheetPr>
    <tabColor theme="8"/>
  </sheetPr>
  <dimension ref="A3:B46"/>
  <sheetViews>
    <sheetView workbookViewId="0">
      <selection activeCell="J16" sqref="J16"/>
    </sheetView>
  </sheetViews>
  <sheetFormatPr defaultRowHeight="15" x14ac:dyDescent="0.25"/>
  <cols>
    <col min="1" max="1" width="76.28515625" bestFit="1" customWidth="1"/>
    <col min="2" max="2" width="11" bestFit="1" customWidth="1"/>
  </cols>
  <sheetData>
    <row r="3" spans="1:2" x14ac:dyDescent="0.25">
      <c r="A3" s="6" t="s">
        <v>517</v>
      </c>
      <c r="B3" t="s">
        <v>65</v>
      </c>
    </row>
    <row r="4" spans="1:2" x14ac:dyDescent="0.25">
      <c r="A4" s="4" t="s">
        <v>15</v>
      </c>
      <c r="B4" s="363">
        <v>4</v>
      </c>
    </row>
    <row r="5" spans="1:2" x14ac:dyDescent="0.25">
      <c r="A5" s="4" t="s">
        <v>89</v>
      </c>
      <c r="B5" s="363">
        <v>0</v>
      </c>
    </row>
    <row r="6" spans="1:2" x14ac:dyDescent="0.25">
      <c r="A6" s="4" t="s">
        <v>42</v>
      </c>
      <c r="B6" s="363">
        <v>0</v>
      </c>
    </row>
    <row r="7" spans="1:2" x14ac:dyDescent="0.25">
      <c r="A7" s="4" t="s">
        <v>93</v>
      </c>
      <c r="B7" s="363">
        <v>0</v>
      </c>
    </row>
    <row r="8" spans="1:2" x14ac:dyDescent="0.25">
      <c r="A8" s="4" t="s">
        <v>44</v>
      </c>
      <c r="B8" s="363">
        <v>0</v>
      </c>
    </row>
    <row r="9" spans="1:2" x14ac:dyDescent="0.25">
      <c r="A9" s="4" t="s">
        <v>45</v>
      </c>
      <c r="B9" s="363">
        <v>0</v>
      </c>
    </row>
    <row r="10" spans="1:2" x14ac:dyDescent="0.25">
      <c r="A10" s="4" t="s">
        <v>46</v>
      </c>
      <c r="B10" s="363">
        <v>0</v>
      </c>
    </row>
    <row r="11" spans="1:2" x14ac:dyDescent="0.25">
      <c r="A11" s="4" t="s">
        <v>37</v>
      </c>
      <c r="B11" s="363">
        <v>2</v>
      </c>
    </row>
    <row r="12" spans="1:2" x14ac:dyDescent="0.25">
      <c r="A12" s="4" t="s">
        <v>358</v>
      </c>
      <c r="B12" s="363">
        <v>0</v>
      </c>
    </row>
    <row r="13" spans="1:2" x14ac:dyDescent="0.25">
      <c r="A13" s="4" t="s">
        <v>361</v>
      </c>
      <c r="B13" s="363">
        <v>0</v>
      </c>
    </row>
    <row r="14" spans="1:2" x14ac:dyDescent="0.25">
      <c r="A14" s="4" t="s">
        <v>55</v>
      </c>
      <c r="B14" s="363">
        <v>1</v>
      </c>
    </row>
    <row r="15" spans="1:2" x14ac:dyDescent="0.25">
      <c r="A15" s="4" t="s">
        <v>47</v>
      </c>
      <c r="B15" s="363">
        <v>3</v>
      </c>
    </row>
    <row r="16" spans="1:2" x14ac:dyDescent="0.25">
      <c r="A16" s="4" t="s">
        <v>56</v>
      </c>
      <c r="B16" s="363"/>
    </row>
    <row r="17" spans="1:2" x14ac:dyDescent="0.25">
      <c r="A17" s="4" t="s">
        <v>48</v>
      </c>
      <c r="B17" s="363">
        <v>0</v>
      </c>
    </row>
    <row r="18" spans="1:2" x14ac:dyDescent="0.25">
      <c r="A18" s="4" t="s">
        <v>17</v>
      </c>
      <c r="B18" s="363">
        <v>0</v>
      </c>
    </row>
    <row r="19" spans="1:2" x14ac:dyDescent="0.25">
      <c r="A19" s="4" t="s">
        <v>28</v>
      </c>
      <c r="B19" s="363">
        <v>0</v>
      </c>
    </row>
    <row r="20" spans="1:2" x14ac:dyDescent="0.25">
      <c r="A20" s="4" t="s">
        <v>57</v>
      </c>
      <c r="B20" s="363">
        <v>4</v>
      </c>
    </row>
    <row r="21" spans="1:2" x14ac:dyDescent="0.25">
      <c r="A21" s="4" t="s">
        <v>58</v>
      </c>
      <c r="B21" s="363">
        <v>0</v>
      </c>
    </row>
    <row r="22" spans="1:2" x14ac:dyDescent="0.25">
      <c r="A22" s="4" t="s">
        <v>38</v>
      </c>
      <c r="B22" s="363">
        <v>0</v>
      </c>
    </row>
    <row r="23" spans="1:2" x14ac:dyDescent="0.25">
      <c r="A23" s="4" t="s">
        <v>120</v>
      </c>
      <c r="B23" s="363">
        <v>14</v>
      </c>
    </row>
    <row r="24" spans="1:2" x14ac:dyDescent="0.25">
      <c r="A24" s="4" t="s">
        <v>29</v>
      </c>
      <c r="B24" s="363">
        <v>0</v>
      </c>
    </row>
    <row r="25" spans="1:2" x14ac:dyDescent="0.25">
      <c r="A25" s="4" t="s">
        <v>31</v>
      </c>
      <c r="B25" s="363">
        <v>1</v>
      </c>
    </row>
    <row r="26" spans="1:2" x14ac:dyDescent="0.25">
      <c r="A26" s="4" t="s">
        <v>223</v>
      </c>
      <c r="B26" s="363">
        <v>0</v>
      </c>
    </row>
    <row r="27" spans="1:2" x14ac:dyDescent="0.25">
      <c r="A27" s="4" t="s">
        <v>32</v>
      </c>
      <c r="B27" s="363">
        <v>0</v>
      </c>
    </row>
    <row r="28" spans="1:2" x14ac:dyDescent="0.25">
      <c r="A28" s="4" t="s">
        <v>33</v>
      </c>
      <c r="B28" s="363">
        <v>0</v>
      </c>
    </row>
    <row r="29" spans="1:2" x14ac:dyDescent="0.25">
      <c r="A29" s="4" t="s">
        <v>34</v>
      </c>
      <c r="B29" s="363">
        <v>0</v>
      </c>
    </row>
    <row r="30" spans="1:2" x14ac:dyDescent="0.25">
      <c r="A30" s="4" t="s">
        <v>49</v>
      </c>
      <c r="B30" s="363">
        <v>0</v>
      </c>
    </row>
    <row r="31" spans="1:2" x14ac:dyDescent="0.25">
      <c r="A31" s="4" t="s">
        <v>50</v>
      </c>
      <c r="B31" s="363">
        <v>7</v>
      </c>
    </row>
    <row r="32" spans="1:2" x14ac:dyDescent="0.25">
      <c r="A32" s="4" t="s">
        <v>51</v>
      </c>
      <c r="B32" s="363">
        <v>5</v>
      </c>
    </row>
    <row r="33" spans="1:2" x14ac:dyDescent="0.25">
      <c r="A33" s="4" t="s">
        <v>59</v>
      </c>
      <c r="B33" s="363">
        <v>4</v>
      </c>
    </row>
    <row r="34" spans="1:2" x14ac:dyDescent="0.25">
      <c r="A34" s="4" t="s">
        <v>60</v>
      </c>
      <c r="B34" s="363">
        <v>0</v>
      </c>
    </row>
    <row r="35" spans="1:2" x14ac:dyDescent="0.25">
      <c r="A35" s="4" t="s">
        <v>61</v>
      </c>
      <c r="B35" s="363">
        <v>3</v>
      </c>
    </row>
    <row r="36" spans="1:2" x14ac:dyDescent="0.25">
      <c r="A36" s="4" t="s">
        <v>52</v>
      </c>
      <c r="B36" s="363">
        <v>5</v>
      </c>
    </row>
    <row r="37" spans="1:2" x14ac:dyDescent="0.25">
      <c r="A37" s="4" t="s">
        <v>35</v>
      </c>
      <c r="B37" s="363">
        <v>0</v>
      </c>
    </row>
    <row r="38" spans="1:2" x14ac:dyDescent="0.25">
      <c r="A38" s="4" t="s">
        <v>39</v>
      </c>
      <c r="B38" s="363">
        <v>22</v>
      </c>
    </row>
    <row r="39" spans="1:2" x14ac:dyDescent="0.25">
      <c r="A39" s="4" t="s">
        <v>355</v>
      </c>
      <c r="B39" s="363">
        <v>0</v>
      </c>
    </row>
    <row r="40" spans="1:2" x14ac:dyDescent="0.25">
      <c r="A40" s="4" t="s">
        <v>53</v>
      </c>
      <c r="B40" s="363">
        <v>4</v>
      </c>
    </row>
    <row r="41" spans="1:2" x14ac:dyDescent="0.25">
      <c r="A41" s="4" t="s">
        <v>338</v>
      </c>
      <c r="B41" s="363">
        <v>0</v>
      </c>
    </row>
    <row r="42" spans="1:2" x14ac:dyDescent="0.25">
      <c r="A42" s="4" t="s">
        <v>40</v>
      </c>
      <c r="B42" s="363">
        <v>48</v>
      </c>
    </row>
    <row r="43" spans="1:2" x14ac:dyDescent="0.25">
      <c r="A43" s="4" t="s">
        <v>342</v>
      </c>
      <c r="B43" s="363">
        <v>1</v>
      </c>
    </row>
    <row r="44" spans="1:2" x14ac:dyDescent="0.25">
      <c r="A44" s="4" t="s">
        <v>54</v>
      </c>
      <c r="B44" s="363">
        <v>0</v>
      </c>
    </row>
    <row r="45" spans="1:2" x14ac:dyDescent="0.25">
      <c r="A45" s="4" t="s">
        <v>36</v>
      </c>
      <c r="B45" s="363">
        <v>0</v>
      </c>
    </row>
    <row r="46" spans="1:2" x14ac:dyDescent="0.25">
      <c r="A46" s="4" t="s">
        <v>225</v>
      </c>
      <c r="B46" s="363">
        <v>128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tabColor theme="8"/>
  </sheetPr>
  <dimension ref="A1:AK538"/>
  <sheetViews>
    <sheetView tabSelected="1" zoomScale="87" zoomScaleNormal="90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B1" sqref="B1"/>
    </sheetView>
  </sheetViews>
  <sheetFormatPr defaultColWidth="14.42578125" defaultRowHeight="15" x14ac:dyDescent="0.25"/>
  <cols>
    <col min="1" max="1" width="33.42578125" style="9" hidden="1" customWidth="1"/>
    <col min="2" max="2" width="65.85546875" style="10" customWidth="1"/>
    <col min="3" max="3" width="14.42578125" style="2"/>
    <col min="4" max="4" width="14.42578125" style="12"/>
    <col min="5" max="5" width="15.7109375" style="10" customWidth="1"/>
    <col min="6" max="6" width="14.42578125" style="11"/>
    <col min="7" max="7" width="15.140625" style="11" customWidth="1"/>
    <col min="8" max="14" width="14.42578125" style="11" customWidth="1"/>
    <col min="15" max="15" width="20.85546875" style="9" hidden="1" customWidth="1"/>
    <col min="16" max="16" width="40.140625" style="9" hidden="1" customWidth="1"/>
    <col min="17" max="17" width="14.42578125" style="9" hidden="1" customWidth="1"/>
    <col min="18" max="23" width="14.42578125" style="68" customWidth="1"/>
    <col min="24" max="24" width="14.42578125" style="13" customWidth="1"/>
    <col min="25" max="26" width="14.42578125" style="68" customWidth="1"/>
    <col min="27" max="28" width="14.42578125" style="68"/>
    <col min="29" max="37" width="14.42578125" style="68" hidden="1" customWidth="1"/>
  </cols>
  <sheetData>
    <row r="1" spans="1:37" x14ac:dyDescent="0.25">
      <c r="A1" s="9" t="s">
        <v>424</v>
      </c>
      <c r="B1" s="9"/>
    </row>
    <row r="2" spans="1:37" x14ac:dyDescent="0.25">
      <c r="A2" s="10"/>
    </row>
    <row r="3" spans="1:37" ht="45" x14ac:dyDescent="0.25">
      <c r="A3" s="27" t="s">
        <v>425</v>
      </c>
      <c r="B3" s="27" t="s">
        <v>227</v>
      </c>
      <c r="C3" s="27" t="s">
        <v>73</v>
      </c>
      <c r="D3" s="120" t="s">
        <v>228</v>
      </c>
      <c r="E3" s="27" t="s">
        <v>156</v>
      </c>
      <c r="F3" s="28" t="s">
        <v>229</v>
      </c>
      <c r="G3" s="28" t="s">
        <v>230</v>
      </c>
      <c r="H3" s="71" t="s">
        <v>231</v>
      </c>
      <c r="I3" s="71" t="s">
        <v>232</v>
      </c>
      <c r="J3" s="71" t="s">
        <v>233</v>
      </c>
      <c r="K3" s="71" t="s">
        <v>234</v>
      </c>
      <c r="L3" s="71" t="s">
        <v>235</v>
      </c>
      <c r="M3" s="71" t="s">
        <v>236</v>
      </c>
      <c r="N3" s="71" t="s">
        <v>237</v>
      </c>
      <c r="O3" s="29" t="s">
        <v>238</v>
      </c>
      <c r="P3" s="27" t="s">
        <v>239</v>
      </c>
      <c r="Q3" s="29" t="s">
        <v>268</v>
      </c>
      <c r="R3" s="30" t="s">
        <v>240</v>
      </c>
      <c r="S3" s="30" t="s">
        <v>241</v>
      </c>
      <c r="T3" s="30" t="s">
        <v>242</v>
      </c>
      <c r="U3" s="30" t="s">
        <v>243</v>
      </c>
      <c r="V3" s="30" t="s">
        <v>244</v>
      </c>
      <c r="W3" s="30" t="s">
        <v>245</v>
      </c>
      <c r="X3" s="29" t="s">
        <v>246</v>
      </c>
      <c r="Y3" s="29" t="s">
        <v>247</v>
      </c>
      <c r="Z3" s="29" t="s">
        <v>13</v>
      </c>
      <c r="AA3" s="29" t="s">
        <v>14</v>
      </c>
      <c r="AB3" s="29" t="s">
        <v>248</v>
      </c>
      <c r="AC3" s="29" t="s">
        <v>518</v>
      </c>
      <c r="AD3" s="337" t="s">
        <v>250</v>
      </c>
      <c r="AE3" s="337" t="s">
        <v>251</v>
      </c>
      <c r="AF3" s="337" t="s">
        <v>252</v>
      </c>
      <c r="AG3" s="338" t="s">
        <v>519</v>
      </c>
      <c r="AH3" s="338" t="s">
        <v>520</v>
      </c>
      <c r="AI3" s="338" t="s">
        <v>62</v>
      </c>
      <c r="AJ3" s="344" t="s">
        <v>521</v>
      </c>
      <c r="AK3" s="345" t="s">
        <v>522</v>
      </c>
    </row>
    <row r="4" spans="1:37" s="373" customFormat="1" x14ac:dyDescent="0.25">
      <c r="A4" s="365"/>
      <c r="B4" s="366" t="s">
        <v>120</v>
      </c>
      <c r="C4" s="367" t="str">
        <f>VLOOKUP(Table2[[#This Row],[Course Title]],'TSD-Data'!$A$1:$E$56,2,FALSE)</f>
        <v>A-322-2604</v>
      </c>
      <c r="D4" s="367" t="str">
        <f>VLOOKUP(Table2[[#This Row],[Course Title]],'TSD-Data'!$A$1:$E$56,3,FALSE)</f>
        <v>10ZZ</v>
      </c>
      <c r="E4" s="365" t="s">
        <v>86</v>
      </c>
      <c r="F4" s="368">
        <v>45565</v>
      </c>
      <c r="G4" s="368">
        <v>45569</v>
      </c>
      <c r="H4" s="369"/>
      <c r="I4" s="369">
        <v>1300</v>
      </c>
      <c r="J4" s="369">
        <v>1000</v>
      </c>
      <c r="K4" s="369">
        <v>2000</v>
      </c>
      <c r="L4" s="369">
        <v>1900</v>
      </c>
      <c r="M4" s="370">
        <v>0.29166666666666669</v>
      </c>
      <c r="N4" s="371">
        <v>8.3333333333333329E-2</v>
      </c>
      <c r="O4" s="365" t="s">
        <v>288</v>
      </c>
      <c r="P4" s="365"/>
      <c r="Q4" s="365"/>
      <c r="R4" s="372">
        <f>VLOOKUP(Table2[[#This Row],[Course Title]],'TSD-Data'!$A$1:$E$56,4,FALSE)</f>
        <v>45</v>
      </c>
      <c r="S4" s="372">
        <f>VLOOKUP(Table2[[#This Row],[Course Title]],'TSD-Data'!$A$1:$F$53,6,FALSE)</f>
        <v>24</v>
      </c>
      <c r="T4" s="372">
        <f>VLOOKUP(Table2[[#This Row],[Course Title]],'TSD-Data'!$A$1:$E$56,5,FALSE)</f>
        <v>3</v>
      </c>
      <c r="U4" s="369">
        <v>634</v>
      </c>
      <c r="V4" s="369">
        <f>Table2[[#This Row],[Quotas]]-Table2[[#This Row],[Open Quotas]]</f>
        <v>24</v>
      </c>
      <c r="W4" s="369">
        <v>0</v>
      </c>
      <c r="X4" s="369">
        <v>20</v>
      </c>
      <c r="Y4" s="369">
        <v>0</v>
      </c>
      <c r="Z4" s="369">
        <v>4</v>
      </c>
      <c r="AA4" s="369">
        <v>0</v>
      </c>
      <c r="AB4" s="369">
        <v>0</v>
      </c>
      <c r="AC4" s="369" t="s">
        <v>281</v>
      </c>
      <c r="AD4" s="369">
        <v>-131</v>
      </c>
      <c r="AE4" s="369">
        <v>0</v>
      </c>
      <c r="AF4" s="369">
        <v>0</v>
      </c>
      <c r="AG4" s="369">
        <v>1</v>
      </c>
      <c r="AH4" s="369">
        <v>0</v>
      </c>
      <c r="AI4" s="369">
        <v>24</v>
      </c>
      <c r="AJ4" s="369">
        <v>21</v>
      </c>
      <c r="AK4" s="369">
        <v>1</v>
      </c>
    </row>
    <row r="5" spans="1:37" s="373" customFormat="1" x14ac:dyDescent="0.25">
      <c r="A5" s="366"/>
      <c r="B5" s="366" t="s">
        <v>39</v>
      </c>
      <c r="C5" s="374" t="str">
        <f>VLOOKUP(Table2[[#This Row],[Course Title]],'TSD-Data'!$A$1:$E$56,2,FALSE)</f>
        <v>A-570-0100</v>
      </c>
      <c r="D5" s="374" t="str">
        <f>VLOOKUP(Table2[[#This Row],[Course Title]],'TSD-Data'!$A$1:$E$56,3,FALSE)</f>
        <v>18B7</v>
      </c>
      <c r="E5" s="366" t="s">
        <v>86</v>
      </c>
      <c r="F5" s="375">
        <v>45565</v>
      </c>
      <c r="G5" s="375">
        <v>45568</v>
      </c>
      <c r="H5" s="376"/>
      <c r="I5" s="376">
        <v>1300</v>
      </c>
      <c r="J5" s="376">
        <v>1000</v>
      </c>
      <c r="K5" s="376">
        <v>2000</v>
      </c>
      <c r="L5" s="376">
        <v>1900</v>
      </c>
      <c r="M5" s="377">
        <v>0.29166666666666669</v>
      </c>
      <c r="N5" s="371">
        <v>8.3333333333333329E-2</v>
      </c>
      <c r="O5" s="366" t="s">
        <v>272</v>
      </c>
      <c r="P5" s="366"/>
      <c r="Q5" s="365"/>
      <c r="R5" s="378">
        <f>VLOOKUP(Table2[[#This Row],[Course Title]],'TSD-Data'!$A$1:$E$56,4,FALSE)</f>
        <v>45</v>
      </c>
      <c r="S5" s="378">
        <f>VLOOKUP(Table2[[#This Row],[Course Title]],'TSD-Data'!$A$1:$F$53,6,FALSE)</f>
        <v>16</v>
      </c>
      <c r="T5" s="378">
        <f>VLOOKUP(Table2[[#This Row],[Course Title]],'TSD-Data'!$A$1:$E$56,5,FALSE)</f>
        <v>2</v>
      </c>
      <c r="U5" s="376">
        <v>621</v>
      </c>
      <c r="V5" s="376">
        <f>Table2[[#This Row],[Quotas]]-Table2[[#This Row],[Open Quotas]]</f>
        <v>21</v>
      </c>
      <c r="W5" s="376">
        <v>0</v>
      </c>
      <c r="X5" s="376">
        <v>12</v>
      </c>
      <c r="Y5" s="376">
        <v>3</v>
      </c>
      <c r="Z5" s="376">
        <v>6</v>
      </c>
      <c r="AA5" s="376">
        <v>0</v>
      </c>
      <c r="AB5" s="376">
        <v>0</v>
      </c>
      <c r="AC5" s="376" t="s">
        <v>281</v>
      </c>
      <c r="AD5" s="376">
        <v>-132</v>
      </c>
      <c r="AE5" s="376">
        <v>0</v>
      </c>
      <c r="AF5" s="376">
        <v>0</v>
      </c>
      <c r="AG5" s="376">
        <v>1</v>
      </c>
      <c r="AH5" s="376">
        <v>0</v>
      </c>
      <c r="AI5" s="376">
        <v>16</v>
      </c>
      <c r="AJ5" s="376">
        <v>24</v>
      </c>
      <c r="AK5" s="376">
        <v>1</v>
      </c>
    </row>
    <row r="6" spans="1:37" s="373" customFormat="1" x14ac:dyDescent="0.25">
      <c r="A6" s="366"/>
      <c r="B6" s="366" t="s">
        <v>40</v>
      </c>
      <c r="C6" s="374" t="str">
        <f>VLOOKUP(Table2[[#This Row],[Course Title]],'TSD-Data'!$A$1:$E$56,2,FALSE)</f>
        <v>A-493-2098</v>
      </c>
      <c r="D6" s="374" t="str">
        <f>VLOOKUP(Table2[[#This Row],[Course Title]],'TSD-Data'!$A$1:$E$56,3,FALSE)</f>
        <v>09WW</v>
      </c>
      <c r="E6" s="366" t="s">
        <v>86</v>
      </c>
      <c r="F6" s="375">
        <v>45565</v>
      </c>
      <c r="G6" s="375">
        <v>45569</v>
      </c>
      <c r="H6" s="376"/>
      <c r="I6" s="377">
        <v>0.33333333333333331</v>
      </c>
      <c r="J6" s="379">
        <v>0.20833333333333334</v>
      </c>
      <c r="K6" s="376">
        <v>1500</v>
      </c>
      <c r="L6" s="376">
        <v>1400</v>
      </c>
      <c r="M6" s="377">
        <v>8.3333333333333329E-2</v>
      </c>
      <c r="N6" s="376">
        <v>2100</v>
      </c>
      <c r="O6" s="366" t="s">
        <v>282</v>
      </c>
      <c r="P6" s="366"/>
      <c r="Q6" s="365"/>
      <c r="R6" s="378">
        <f>VLOOKUP(Table2[[#This Row],[Course Title]],'TSD-Data'!$A$1:$E$56,4,FALSE)</f>
        <v>100</v>
      </c>
      <c r="S6" s="378">
        <f>VLOOKUP(Table2[[#This Row],[Course Title]],'TSD-Data'!$A$1:$F$53,6,FALSE)</f>
        <v>16</v>
      </c>
      <c r="T6" s="378">
        <f>VLOOKUP(Table2[[#This Row],[Course Title]],'TSD-Data'!$A$1:$E$56,5,FALSE)</f>
        <v>2</v>
      </c>
      <c r="U6" s="376">
        <v>722</v>
      </c>
      <c r="V6" s="376">
        <f>Table2[[#This Row],[Quotas]]-Table2[[#This Row],[Open Quotas]]</f>
        <v>103</v>
      </c>
      <c r="W6" s="376">
        <v>3</v>
      </c>
      <c r="X6" s="376">
        <v>88</v>
      </c>
      <c r="Y6" s="376">
        <v>1</v>
      </c>
      <c r="Z6" s="376">
        <v>12</v>
      </c>
      <c r="AA6" s="376">
        <v>0</v>
      </c>
      <c r="AB6" s="376">
        <v>0</v>
      </c>
      <c r="AC6" s="376" t="s">
        <v>287</v>
      </c>
      <c r="AD6" s="376">
        <v>-131</v>
      </c>
      <c r="AE6" s="376">
        <v>0</v>
      </c>
      <c r="AF6" s="376">
        <v>0</v>
      </c>
      <c r="AG6" s="376">
        <v>1</v>
      </c>
      <c r="AH6" s="376">
        <v>0</v>
      </c>
      <c r="AI6" s="376">
        <v>16</v>
      </c>
      <c r="AJ6" s="376">
        <v>-3</v>
      </c>
      <c r="AK6" s="376">
        <v>1</v>
      </c>
    </row>
    <row r="7" spans="1:37" s="373" customFormat="1" x14ac:dyDescent="0.25">
      <c r="A7" s="365"/>
      <c r="B7" s="365" t="s">
        <v>61</v>
      </c>
      <c r="C7" s="367" t="str">
        <f>VLOOKUP(Table2[[#This Row],[Course Title]],'TSD-Data'!$A$1:$E$56,2,FALSE)</f>
        <v>A-493-0078</v>
      </c>
      <c r="D7" s="367">
        <f>VLOOKUP(Table2[[#This Row],[Course Title]],'TSD-Data'!$A$1:$E$56,3,FALSE)</f>
        <v>1228</v>
      </c>
      <c r="E7" s="365" t="s">
        <v>86</v>
      </c>
      <c r="F7" s="368">
        <v>45566</v>
      </c>
      <c r="G7" s="368">
        <v>45569</v>
      </c>
      <c r="H7" s="369"/>
      <c r="I7" s="369">
        <v>1000</v>
      </c>
      <c r="J7" s="370">
        <v>0.29166666666666669</v>
      </c>
      <c r="K7" s="369">
        <v>1700</v>
      </c>
      <c r="L7" s="369">
        <v>1600</v>
      </c>
      <c r="M7" s="370">
        <v>0.16666666666666666</v>
      </c>
      <c r="N7" s="369">
        <v>2300</v>
      </c>
      <c r="O7" s="365" t="s">
        <v>304</v>
      </c>
      <c r="P7" s="365"/>
      <c r="Q7" s="365"/>
      <c r="R7" s="372">
        <f>VLOOKUP(Table2[[#This Row],[Course Title]],'TSD-Data'!$A$1:$E$56,4,FALSE)</f>
        <v>45</v>
      </c>
      <c r="S7" s="372">
        <f>VLOOKUP(Table2[[#This Row],[Course Title]],'TSD-Data'!$A$1:$F$53,6,FALSE)</f>
        <v>32</v>
      </c>
      <c r="T7" s="372">
        <f>VLOOKUP(Table2[[#This Row],[Course Title]],'TSD-Data'!$A$1:$E$56,5,FALSE)</f>
        <v>4</v>
      </c>
      <c r="U7" s="369">
        <v>446</v>
      </c>
      <c r="V7" s="369">
        <f>Table2[[#This Row],[Quotas]]-Table2[[#This Row],[Open Quotas]]</f>
        <v>28</v>
      </c>
      <c r="W7" s="369">
        <v>0</v>
      </c>
      <c r="X7" s="369">
        <v>23</v>
      </c>
      <c r="Y7" s="369">
        <v>0</v>
      </c>
      <c r="Z7" s="369">
        <v>5</v>
      </c>
      <c r="AA7" s="369">
        <v>0</v>
      </c>
      <c r="AB7" s="369">
        <v>0</v>
      </c>
      <c r="AC7" s="369" t="s">
        <v>281</v>
      </c>
      <c r="AD7" s="369">
        <v>-131</v>
      </c>
      <c r="AE7" s="369">
        <v>0</v>
      </c>
      <c r="AF7" s="369">
        <v>0</v>
      </c>
      <c r="AG7" s="369">
        <v>1</v>
      </c>
      <c r="AH7" s="369">
        <v>0</v>
      </c>
      <c r="AI7" s="369">
        <v>32</v>
      </c>
      <c r="AJ7" s="369">
        <v>17</v>
      </c>
      <c r="AK7" s="369">
        <v>1</v>
      </c>
    </row>
    <row r="8" spans="1:37" s="373" customFormat="1" x14ac:dyDescent="0.25">
      <c r="A8" s="365"/>
      <c r="B8" s="366" t="s">
        <v>59</v>
      </c>
      <c r="C8" s="367" t="str">
        <f>VLOOKUP(Table2[[#This Row],[Course Title]],'TSD-Data'!$A$1:$E$56,2,FALSE)</f>
        <v>A-493-0550</v>
      </c>
      <c r="D8" s="367" t="str">
        <f>VLOOKUP(Table2[[#This Row],[Course Title]],'TSD-Data'!$A$1:$E$56,3,FALSE)</f>
        <v>09K5</v>
      </c>
      <c r="E8" s="365" t="s">
        <v>86</v>
      </c>
      <c r="F8" s="368">
        <v>45572</v>
      </c>
      <c r="G8" s="368">
        <v>45575</v>
      </c>
      <c r="H8" s="369"/>
      <c r="I8" s="369">
        <v>1000</v>
      </c>
      <c r="J8" s="377">
        <v>0.29166666666666669</v>
      </c>
      <c r="K8" s="369">
        <v>1700</v>
      </c>
      <c r="L8" s="369">
        <v>1600</v>
      </c>
      <c r="M8" s="370">
        <v>0.16666666666666666</v>
      </c>
      <c r="N8" s="369">
        <v>2300</v>
      </c>
      <c r="O8" s="365" t="s">
        <v>305</v>
      </c>
      <c r="P8" s="365" t="s">
        <v>301</v>
      </c>
      <c r="Q8" s="365"/>
      <c r="R8" s="372">
        <f>VLOOKUP(Table2[[#This Row],[Course Title]],'TSD-Data'!$A$1:$E$56,4,FALSE)</f>
        <v>45</v>
      </c>
      <c r="S8" s="372">
        <f>VLOOKUP(Table2[[#This Row],[Course Title]],'TSD-Data'!$A$1:$F$53,6,FALSE)</f>
        <v>32</v>
      </c>
      <c r="T8" s="372">
        <f>VLOOKUP(Table2[[#This Row],[Course Title]],'TSD-Data'!$A$1:$E$56,5,FALSE)</f>
        <v>4</v>
      </c>
      <c r="U8" s="369">
        <v>465</v>
      </c>
      <c r="V8" s="369">
        <f>Table2[[#This Row],[Quotas]]-Table2[[#This Row],[Open Quotas]]</f>
        <v>45</v>
      </c>
      <c r="W8" s="369">
        <v>3</v>
      </c>
      <c r="X8" s="369">
        <v>38</v>
      </c>
      <c r="Y8" s="369">
        <v>0</v>
      </c>
      <c r="Z8" s="369">
        <v>8</v>
      </c>
      <c r="AA8" s="369">
        <v>0</v>
      </c>
      <c r="AB8" s="369">
        <v>1</v>
      </c>
      <c r="AC8" s="369" t="s">
        <v>279</v>
      </c>
      <c r="AD8" s="369">
        <v>-125</v>
      </c>
      <c r="AE8" s="369">
        <v>0</v>
      </c>
      <c r="AF8" s="369">
        <v>0</v>
      </c>
      <c r="AG8" s="369">
        <v>1</v>
      </c>
      <c r="AH8" s="369">
        <v>1</v>
      </c>
      <c r="AI8" s="369">
        <v>16</v>
      </c>
      <c r="AJ8" s="369">
        <v>0</v>
      </c>
      <c r="AK8" s="369">
        <v>1</v>
      </c>
    </row>
    <row r="9" spans="1:37" s="373" customFormat="1" x14ac:dyDescent="0.25">
      <c r="A9" s="365"/>
      <c r="B9" s="365" t="s">
        <v>60</v>
      </c>
      <c r="C9" s="367" t="str">
        <f>VLOOKUP(Table2[[#This Row],[Course Title]],'TSD-Data'!$A$1:$E$56,2,FALSE)</f>
        <v>A-493-0073</v>
      </c>
      <c r="D9" s="367" t="str">
        <f>VLOOKUP(Table2[[#This Row],[Course Title]],'TSD-Data'!$A$1:$E$56,3,FALSE)</f>
        <v>714S</v>
      </c>
      <c r="E9" s="365" t="s">
        <v>86</v>
      </c>
      <c r="F9" s="368">
        <v>45572</v>
      </c>
      <c r="G9" s="368">
        <v>45575</v>
      </c>
      <c r="H9" s="369"/>
      <c r="I9" s="370">
        <v>0.33333333333333331</v>
      </c>
      <c r="J9" s="379">
        <v>0.20833333333333334</v>
      </c>
      <c r="K9" s="369">
        <v>1600</v>
      </c>
      <c r="L9" s="369">
        <v>1400</v>
      </c>
      <c r="M9" s="370">
        <v>0.125</v>
      </c>
      <c r="N9" s="369">
        <v>2200</v>
      </c>
      <c r="O9" s="365" t="s">
        <v>314</v>
      </c>
      <c r="P9" s="365"/>
      <c r="Q9" s="365"/>
      <c r="R9" s="372">
        <f>VLOOKUP(Table2[[#This Row],[Course Title]],'TSD-Data'!$A$1:$E$56,4,FALSE)</f>
        <v>30</v>
      </c>
      <c r="S9" s="372">
        <f>VLOOKUP(Table2[[#This Row],[Course Title]],'TSD-Data'!$A$1:$F$53,6,FALSE)</f>
        <v>32</v>
      </c>
      <c r="T9" s="372">
        <f>VLOOKUP(Table2[[#This Row],[Course Title]],'TSD-Data'!$A$1:$E$56,5,FALSE)</f>
        <v>4</v>
      </c>
      <c r="U9" s="369">
        <v>284</v>
      </c>
      <c r="V9" s="369">
        <f>Table2[[#This Row],[Quotas]]-Table2[[#This Row],[Open Quotas]]</f>
        <v>13</v>
      </c>
      <c r="W9" s="369">
        <v>0</v>
      </c>
      <c r="X9" s="369">
        <v>9</v>
      </c>
      <c r="Y9" s="369">
        <v>0</v>
      </c>
      <c r="Z9" s="369">
        <v>4</v>
      </c>
      <c r="AA9" s="369">
        <v>0</v>
      </c>
      <c r="AB9" s="369">
        <v>0</v>
      </c>
      <c r="AC9" s="369" t="s">
        <v>281</v>
      </c>
      <c r="AD9" s="369">
        <v>-125</v>
      </c>
      <c r="AE9" s="369">
        <v>0</v>
      </c>
      <c r="AF9" s="369">
        <v>0</v>
      </c>
      <c r="AG9" s="369">
        <v>1</v>
      </c>
      <c r="AH9" s="369">
        <v>0</v>
      </c>
      <c r="AI9" s="369">
        <v>32</v>
      </c>
      <c r="AJ9" s="369">
        <v>17</v>
      </c>
      <c r="AK9" s="369">
        <v>1</v>
      </c>
    </row>
    <row r="10" spans="1:37" s="373" customFormat="1" x14ac:dyDescent="0.25">
      <c r="A10" s="366"/>
      <c r="B10" s="366" t="s">
        <v>52</v>
      </c>
      <c r="C10" s="374" t="str">
        <f>VLOOKUP(Table2[[#This Row],[Course Title]],'TSD-Data'!$A$1:$E$56,2,FALSE)</f>
        <v>A-493-0085</v>
      </c>
      <c r="D10" s="374">
        <f>VLOOKUP(Table2[[#This Row],[Course Title]],'TSD-Data'!$A$1:$E$56,3,FALSE)</f>
        <v>3555</v>
      </c>
      <c r="E10" s="366" t="s">
        <v>86</v>
      </c>
      <c r="F10" s="375">
        <v>45572</v>
      </c>
      <c r="G10" s="375">
        <v>45575</v>
      </c>
      <c r="H10" s="376"/>
      <c r="I10" s="376">
        <v>1200</v>
      </c>
      <c r="J10" s="380">
        <v>0.375</v>
      </c>
      <c r="K10" s="376">
        <v>1900</v>
      </c>
      <c r="L10" s="376">
        <v>1800</v>
      </c>
      <c r="M10" s="380">
        <v>0.25</v>
      </c>
      <c r="N10" s="380">
        <v>4.1666666666666664E-2</v>
      </c>
      <c r="O10" s="366" t="s">
        <v>316</v>
      </c>
      <c r="P10" s="366"/>
      <c r="Q10" s="365"/>
      <c r="R10" s="378">
        <f>VLOOKUP(Table2[[#This Row],[Course Title]],'TSD-Data'!$A$1:$E$56,4,FALSE)</f>
        <v>45</v>
      </c>
      <c r="S10" s="378">
        <f>VLOOKUP(Table2[[#This Row],[Course Title]],'TSD-Data'!$A$1:$F$53,6,FALSE)</f>
        <v>32</v>
      </c>
      <c r="T10" s="378">
        <f>VLOOKUP(Table2[[#This Row],[Course Title]],'TSD-Data'!$A$1:$E$56,5,FALSE)</f>
        <v>4</v>
      </c>
      <c r="U10" s="376">
        <v>503</v>
      </c>
      <c r="V10" s="376">
        <f>Table2[[#This Row],[Quotas]]-Table2[[#This Row],[Open Quotas]]</f>
        <v>33</v>
      </c>
      <c r="W10" s="376">
        <v>0</v>
      </c>
      <c r="X10" s="376">
        <v>20</v>
      </c>
      <c r="Y10" s="376">
        <v>2</v>
      </c>
      <c r="Z10" s="376">
        <v>11</v>
      </c>
      <c r="AA10" s="376">
        <v>0</v>
      </c>
      <c r="AB10" s="376">
        <v>0</v>
      </c>
      <c r="AC10" s="376" t="s">
        <v>287</v>
      </c>
      <c r="AD10" s="376">
        <v>-125</v>
      </c>
      <c r="AE10" s="376">
        <v>0</v>
      </c>
      <c r="AF10" s="376">
        <v>0</v>
      </c>
      <c r="AG10" s="376">
        <v>1</v>
      </c>
      <c r="AH10" s="376">
        <v>0</v>
      </c>
      <c r="AI10" s="376">
        <v>32</v>
      </c>
      <c r="AJ10" s="376">
        <v>12</v>
      </c>
      <c r="AK10" s="376">
        <v>1</v>
      </c>
    </row>
    <row r="11" spans="1:37" s="373" customFormat="1" x14ac:dyDescent="0.25">
      <c r="A11" s="366" t="s">
        <v>523</v>
      </c>
      <c r="B11" s="366" t="s">
        <v>342</v>
      </c>
      <c r="C11" s="374" t="str">
        <f>VLOOKUP(Table2[[#This Row],[Course Title]],'TSD-Data'!$A$1:$E$56,2,FALSE)</f>
        <v>A-493-2099</v>
      </c>
      <c r="D11" s="374" t="str">
        <f>VLOOKUP(Table2[[#This Row],[Course Title]],'TSD-Data'!$A$1:$E$56,3,FALSE)</f>
        <v>438G</v>
      </c>
      <c r="E11" s="366" t="s">
        <v>198</v>
      </c>
      <c r="F11" s="375">
        <v>45572</v>
      </c>
      <c r="G11" s="375">
        <v>45573</v>
      </c>
      <c r="H11" s="377">
        <v>0.33333333333333331</v>
      </c>
      <c r="I11" s="376"/>
      <c r="J11" s="376"/>
      <c r="K11" s="376"/>
      <c r="L11" s="376"/>
      <c r="M11" s="376"/>
      <c r="N11" s="376"/>
      <c r="O11" s="366" t="s">
        <v>282</v>
      </c>
      <c r="P11" s="366" t="s">
        <v>272</v>
      </c>
      <c r="Q11" s="365"/>
      <c r="R11" s="378">
        <f>VLOOKUP(Table2[[#This Row],[Course Title]],'TSD-Data'!$A$1:$E$56,4,FALSE)</f>
        <v>30</v>
      </c>
      <c r="S11" s="378">
        <f>VLOOKUP(Table2[[#This Row],[Course Title]],'TSD-Data'!$A$1:$F$53,6,FALSE)</f>
        <v>16</v>
      </c>
      <c r="T11" s="378">
        <f>VLOOKUP(Table2[[#This Row],[Course Title]],'TSD-Data'!$A$1:$E$56,5,FALSE)</f>
        <v>2</v>
      </c>
      <c r="U11" s="376">
        <v>30</v>
      </c>
      <c r="V11" s="376">
        <f>Table2[[#This Row],[Quotas]]-Table2[[#This Row],[Open Quotas]]</f>
        <v>25</v>
      </c>
      <c r="W11" s="376">
        <v>0</v>
      </c>
      <c r="X11" s="376">
        <v>23</v>
      </c>
      <c r="Y11" s="376">
        <v>0</v>
      </c>
      <c r="Z11" s="376">
        <v>0</v>
      </c>
      <c r="AA11" s="376">
        <v>0</v>
      </c>
      <c r="AB11" s="376">
        <v>0</v>
      </c>
      <c r="AC11" s="376" t="s">
        <v>287</v>
      </c>
      <c r="AD11" s="376">
        <v>-127</v>
      </c>
      <c r="AE11" s="376">
        <v>0</v>
      </c>
      <c r="AF11" s="376">
        <v>0</v>
      </c>
      <c r="AG11" s="376">
        <v>1</v>
      </c>
      <c r="AH11" s="376">
        <v>1</v>
      </c>
      <c r="AI11" s="376">
        <v>8</v>
      </c>
      <c r="AJ11" s="376">
        <v>5</v>
      </c>
      <c r="AK11" s="376">
        <v>1</v>
      </c>
    </row>
    <row r="12" spans="1:37" s="373" customFormat="1" x14ac:dyDescent="0.25">
      <c r="A12" s="366" t="s">
        <v>523</v>
      </c>
      <c r="B12" s="366" t="s">
        <v>342</v>
      </c>
      <c r="C12" s="374" t="str">
        <f>VLOOKUP(Table2[[#This Row],[Course Title]],'TSD-Data'!$A$1:$E$56,2,FALSE)</f>
        <v>A-493-2099</v>
      </c>
      <c r="D12" s="374" t="str">
        <f>VLOOKUP(Table2[[#This Row],[Course Title]],'TSD-Data'!$A$1:$E$56,3,FALSE)</f>
        <v>438G</v>
      </c>
      <c r="E12" s="366" t="s">
        <v>198</v>
      </c>
      <c r="F12" s="375">
        <v>45574</v>
      </c>
      <c r="G12" s="375">
        <v>45575</v>
      </c>
      <c r="H12" s="377">
        <v>0.33333333333333331</v>
      </c>
      <c r="I12" s="376"/>
      <c r="J12" s="376"/>
      <c r="K12" s="376"/>
      <c r="L12" s="376"/>
      <c r="M12" s="376"/>
      <c r="N12" s="376"/>
      <c r="O12" s="366" t="s">
        <v>282</v>
      </c>
      <c r="P12" s="366" t="s">
        <v>272</v>
      </c>
      <c r="Q12" s="365"/>
      <c r="R12" s="378">
        <f>VLOOKUP(Table2[[#This Row],[Course Title]],'TSD-Data'!$A$1:$E$56,4,FALSE)</f>
        <v>30</v>
      </c>
      <c r="S12" s="378">
        <f>VLOOKUP(Table2[[#This Row],[Course Title]],'TSD-Data'!$A$1:$F$53,6,FALSE)</f>
        <v>16</v>
      </c>
      <c r="T12" s="378">
        <f>VLOOKUP(Table2[[#This Row],[Course Title]],'TSD-Data'!$A$1:$E$56,5,FALSE)</f>
        <v>2</v>
      </c>
      <c r="U12" s="376">
        <v>30</v>
      </c>
      <c r="V12" s="376">
        <f>Table2[[#This Row],[Quotas]]-Table2[[#This Row],[Open Quotas]]</f>
        <v>25</v>
      </c>
      <c r="W12" s="376">
        <v>0</v>
      </c>
      <c r="X12" s="376">
        <v>23</v>
      </c>
      <c r="Y12" s="376">
        <v>1</v>
      </c>
      <c r="Z12" s="376">
        <v>0</v>
      </c>
      <c r="AA12" s="376">
        <v>0</v>
      </c>
      <c r="AB12" s="376">
        <v>0</v>
      </c>
      <c r="AC12" s="376" t="s">
        <v>287</v>
      </c>
      <c r="AD12" s="376">
        <v>-125</v>
      </c>
      <c r="AE12" s="376">
        <v>0</v>
      </c>
      <c r="AF12" s="376">
        <v>0</v>
      </c>
      <c r="AG12" s="376">
        <v>1</v>
      </c>
      <c r="AH12" s="376">
        <v>1</v>
      </c>
      <c r="AI12" s="376">
        <v>8</v>
      </c>
      <c r="AJ12" s="376">
        <v>5</v>
      </c>
      <c r="AK12" s="376">
        <v>1</v>
      </c>
    </row>
    <row r="13" spans="1:37" s="373" customFormat="1" x14ac:dyDescent="0.25">
      <c r="A13" s="365" t="s">
        <v>427</v>
      </c>
      <c r="B13" s="365" t="s">
        <v>361</v>
      </c>
      <c r="C13" s="367" t="str">
        <f>VLOOKUP(Table2[[#This Row],[Course Title]],'TSD-Data'!$A$1:$E$56,2,FALSE)</f>
        <v>Function</v>
      </c>
      <c r="D13" s="367" t="str">
        <f>VLOOKUP(Table2[[#This Row],[Course Title]],'TSD-Data'!$A$1:$E$56,3,FALSE)</f>
        <v>Function</v>
      </c>
      <c r="E13" s="365" t="s">
        <v>198</v>
      </c>
      <c r="F13" s="368">
        <v>45576</v>
      </c>
      <c r="G13" s="368">
        <v>45576</v>
      </c>
      <c r="H13" s="369"/>
      <c r="I13" s="369"/>
      <c r="J13" s="369"/>
      <c r="K13" s="369"/>
      <c r="L13" s="369"/>
      <c r="M13" s="369"/>
      <c r="N13" s="369"/>
      <c r="O13" s="365"/>
      <c r="P13" s="365"/>
      <c r="Q13" s="365"/>
      <c r="R13" s="372">
        <f>VLOOKUP(Table2[[#This Row],[Course Title]],'TSD-Data'!$A$1:$E$56,4,FALSE)</f>
        <v>0</v>
      </c>
      <c r="S13" s="372">
        <f>VLOOKUP(Table2[[#This Row],[Course Title]],'TSD-Data'!$A$1:$F$53,6,FALSE)</f>
        <v>0</v>
      </c>
      <c r="T13" s="372">
        <f>VLOOKUP(Table2[[#This Row],[Course Title]],'TSD-Data'!$A$1:$E$56,5,FALSE)</f>
        <v>0</v>
      </c>
      <c r="U13" s="369">
        <v>0</v>
      </c>
      <c r="V13" s="369">
        <f>Table2[[#This Row],[Quotas]]-Table2[[#This Row],[Open Quotas]]</f>
        <v>0</v>
      </c>
      <c r="W13" s="369">
        <v>0</v>
      </c>
      <c r="X13" s="369">
        <v>0</v>
      </c>
      <c r="Y13" s="369">
        <v>0</v>
      </c>
      <c r="Z13" s="369">
        <v>0</v>
      </c>
      <c r="AA13" s="369">
        <v>0</v>
      </c>
      <c r="AB13" s="369">
        <v>0</v>
      </c>
      <c r="AC13" s="369" t="s">
        <v>285</v>
      </c>
      <c r="AD13" s="369">
        <v>-124</v>
      </c>
      <c r="AE13" s="369">
        <v>0</v>
      </c>
      <c r="AF13" s="369">
        <v>0</v>
      </c>
      <c r="AG13" s="369">
        <v>0</v>
      </c>
      <c r="AH13" s="369">
        <v>0</v>
      </c>
      <c r="AI13" s="369" t="e">
        <v>#DIV/0!</v>
      </c>
      <c r="AJ13" s="369">
        <v>0</v>
      </c>
      <c r="AK13" s="369">
        <v>1</v>
      </c>
    </row>
    <row r="14" spans="1:37" s="373" customFormat="1" x14ac:dyDescent="0.25">
      <c r="A14" s="365" t="s">
        <v>524</v>
      </c>
      <c r="B14" s="365" t="s">
        <v>17</v>
      </c>
      <c r="C14" s="367" t="str">
        <f>VLOOKUP(Table2[[#This Row],[Course Title]],'TSD-Data'!$A$1:$E$56,2,FALSE)</f>
        <v>A-493-0012</v>
      </c>
      <c r="D14" s="367">
        <f>VLOOKUP(Table2[[#This Row],[Course Title]],'TSD-Data'!$A$1:$E$56,3,FALSE)</f>
        <v>3682</v>
      </c>
      <c r="E14" s="366" t="s">
        <v>191</v>
      </c>
      <c r="F14" s="375">
        <v>45579</v>
      </c>
      <c r="G14" s="375">
        <v>45583</v>
      </c>
      <c r="H14" s="377">
        <v>0.33333333333333331</v>
      </c>
      <c r="I14" s="376"/>
      <c r="J14" s="376"/>
      <c r="K14" s="369"/>
      <c r="L14" s="369"/>
      <c r="M14" s="376"/>
      <c r="N14" s="369"/>
      <c r="O14" s="366" t="s">
        <v>280</v>
      </c>
      <c r="P14" s="365"/>
      <c r="Q14" s="365"/>
      <c r="R14" s="372">
        <f>VLOOKUP(Table2[[#This Row],[Course Title]],'TSD-Data'!$A$1:$E$56,4,FALSE)</f>
        <v>40</v>
      </c>
      <c r="S14" s="372">
        <f>VLOOKUP(Table2[[#This Row],[Course Title]],'TSD-Data'!$A$1:$F$53,6,FALSE)</f>
        <v>40</v>
      </c>
      <c r="T14" s="372">
        <f>VLOOKUP(Table2[[#This Row],[Course Title]],'TSD-Data'!$A$1:$E$56,5,FALSE)</f>
        <v>5</v>
      </c>
      <c r="U14" s="369">
        <v>0</v>
      </c>
      <c r="V14" s="369">
        <f>Table2[[#This Row],[Quotas]]-Table2[[#This Row],[Open Quotas]]</f>
        <v>13</v>
      </c>
      <c r="W14" s="369">
        <v>0</v>
      </c>
      <c r="X14" s="369">
        <v>12</v>
      </c>
      <c r="Y14" s="369">
        <v>0</v>
      </c>
      <c r="Z14" s="369">
        <v>4</v>
      </c>
      <c r="AA14" s="369">
        <v>4</v>
      </c>
      <c r="AB14" s="369">
        <v>0</v>
      </c>
      <c r="AC14" s="369" t="s">
        <v>291</v>
      </c>
      <c r="AD14" s="369">
        <v>-117</v>
      </c>
      <c r="AE14" s="369">
        <v>0</v>
      </c>
      <c r="AF14" s="369">
        <v>0</v>
      </c>
      <c r="AG14" s="369">
        <v>1</v>
      </c>
      <c r="AH14" s="369">
        <v>0</v>
      </c>
      <c r="AI14" s="369">
        <v>40</v>
      </c>
      <c r="AJ14" s="369">
        <v>27</v>
      </c>
      <c r="AK14" s="369">
        <v>1</v>
      </c>
    </row>
    <row r="15" spans="1:37" s="373" customFormat="1" x14ac:dyDescent="0.25">
      <c r="A15" s="365" t="s">
        <v>435</v>
      </c>
      <c r="B15" s="366" t="s">
        <v>223</v>
      </c>
      <c r="C15" s="367" t="str">
        <f>VLOOKUP(Table2[[#This Row],[Course Title]],'TSD-Data'!$A$1:$E$56,2,FALSE)</f>
        <v>Holiday</v>
      </c>
      <c r="D15" s="367" t="str">
        <f>VLOOKUP(Table2[[#This Row],[Course Title]],'TSD-Data'!$A$1:$E$56,3,FALSE)</f>
        <v>Holiday</v>
      </c>
      <c r="E15" s="366" t="s">
        <v>223</v>
      </c>
      <c r="F15" s="368">
        <v>45579</v>
      </c>
      <c r="G15" s="368">
        <v>45579</v>
      </c>
      <c r="H15" s="369"/>
      <c r="I15" s="369"/>
      <c r="J15" s="369"/>
      <c r="K15" s="369"/>
      <c r="L15" s="369"/>
      <c r="M15" s="369"/>
      <c r="N15" s="369"/>
      <c r="O15" s="365"/>
      <c r="P15" s="365"/>
      <c r="Q15" s="365"/>
      <c r="R15" s="372">
        <f>VLOOKUP(Table2[[#This Row],[Course Title]],'TSD-Data'!$A$1:$E$56,4,FALSE)</f>
        <v>0</v>
      </c>
      <c r="S15" s="372">
        <f>VLOOKUP(Table2[[#This Row],[Course Title]],'TSD-Data'!$A$1:$F$53,6,FALSE)</f>
        <v>0</v>
      </c>
      <c r="T15" s="372">
        <f>VLOOKUP(Table2[[#This Row],[Course Title]],'TSD-Data'!$A$1:$E$56,5,FALSE)</f>
        <v>0</v>
      </c>
      <c r="U15" s="369">
        <v>0</v>
      </c>
      <c r="V15" s="369">
        <f>Table2[[#This Row],[Quotas]]-Table2[[#This Row],[Open Quotas]]</f>
        <v>0</v>
      </c>
      <c r="W15" s="369">
        <v>0</v>
      </c>
      <c r="X15" s="369">
        <v>0</v>
      </c>
      <c r="Y15" s="369">
        <v>0</v>
      </c>
      <c r="Z15" s="369">
        <v>0</v>
      </c>
      <c r="AA15" s="369">
        <v>0</v>
      </c>
      <c r="AB15" s="369">
        <v>0</v>
      </c>
      <c r="AC15" s="369" t="s">
        <v>285</v>
      </c>
      <c r="AD15" s="369">
        <v>-121</v>
      </c>
      <c r="AE15" s="369">
        <v>0</v>
      </c>
      <c r="AF15" s="369">
        <v>0</v>
      </c>
      <c r="AG15" s="369">
        <v>0</v>
      </c>
      <c r="AH15" s="369">
        <v>0</v>
      </c>
      <c r="AI15" s="369" t="e">
        <v>#DIV/0!</v>
      </c>
      <c r="AJ15" s="369">
        <v>0</v>
      </c>
      <c r="AK15" s="369">
        <v>1</v>
      </c>
    </row>
    <row r="16" spans="1:37" s="373" customFormat="1" x14ac:dyDescent="0.25">
      <c r="A16" s="365"/>
      <c r="B16" s="365" t="s">
        <v>46</v>
      </c>
      <c r="C16" s="367" t="str">
        <f>VLOOKUP(Table2[[#This Row],[Course Title]],'TSD-Data'!$A$1:$E$56,2,FALSE)</f>
        <v>A-493-0070</v>
      </c>
      <c r="D16" s="367" t="str">
        <f>VLOOKUP(Table2[[#This Row],[Course Title]],'TSD-Data'!$A$1:$E$56,3,FALSE)</f>
        <v>450V</v>
      </c>
      <c r="E16" s="365" t="s">
        <v>199</v>
      </c>
      <c r="F16" s="368">
        <v>45580</v>
      </c>
      <c r="G16" s="368">
        <v>45580</v>
      </c>
      <c r="H16" s="370">
        <v>0.33333333333333331</v>
      </c>
      <c r="I16" s="369"/>
      <c r="J16" s="376"/>
      <c r="K16" s="369"/>
      <c r="L16" s="369"/>
      <c r="M16" s="369"/>
      <c r="N16" s="369"/>
      <c r="O16" s="365" t="s">
        <v>316</v>
      </c>
      <c r="P16" s="365"/>
      <c r="Q16" s="365"/>
      <c r="R16" s="372">
        <f>VLOOKUP(Table2[[#This Row],[Course Title]],'TSD-Data'!$A$1:$E$56,4,FALSE)</f>
        <v>30</v>
      </c>
      <c r="S16" s="372">
        <f>VLOOKUP(Table2[[#This Row],[Course Title]],'TSD-Data'!$A$1:$F$53,6,FALSE)</f>
        <v>8</v>
      </c>
      <c r="T16" s="372">
        <f>VLOOKUP(Table2[[#This Row],[Course Title]],'TSD-Data'!$A$1:$E$56,5,FALSE)</f>
        <v>1</v>
      </c>
      <c r="U16" s="369">
        <v>21</v>
      </c>
      <c r="V16" s="369">
        <f>Table2[[#This Row],[Quotas]]-Table2[[#This Row],[Open Quotas]]</f>
        <v>17</v>
      </c>
      <c r="W16" s="369">
        <v>0</v>
      </c>
      <c r="X16" s="369">
        <v>18</v>
      </c>
      <c r="Y16" s="369">
        <v>0</v>
      </c>
      <c r="Z16" s="369">
        <v>0</v>
      </c>
      <c r="AA16" s="369">
        <v>0</v>
      </c>
      <c r="AB16" s="369">
        <v>0</v>
      </c>
      <c r="AC16" s="369" t="s">
        <v>287</v>
      </c>
      <c r="AD16" s="369">
        <v>-120</v>
      </c>
      <c r="AE16" s="369">
        <v>0</v>
      </c>
      <c r="AF16" s="369">
        <v>0</v>
      </c>
      <c r="AG16" s="369">
        <v>1</v>
      </c>
      <c r="AH16" s="369">
        <v>0</v>
      </c>
      <c r="AI16" s="369">
        <v>8</v>
      </c>
      <c r="AJ16" s="369">
        <v>13</v>
      </c>
      <c r="AK16" s="369">
        <v>1</v>
      </c>
    </row>
    <row r="17" spans="1:37" s="373" customFormat="1" x14ac:dyDescent="0.25">
      <c r="A17" s="365" t="s">
        <v>525</v>
      </c>
      <c r="B17" s="365" t="s">
        <v>358</v>
      </c>
      <c r="C17" s="367" t="str">
        <f>VLOOKUP(Table2[[#This Row],[Course Title]],'TSD-Data'!$A$1:$E$56,2,FALSE)</f>
        <v>Reserved</v>
      </c>
      <c r="D17" s="367" t="str">
        <f>VLOOKUP(Table2[[#This Row],[Course Title]],'TSD-Data'!$A$1:$E$56,3,FALSE)</f>
        <v xml:space="preserve">Reserved </v>
      </c>
      <c r="E17" s="365" t="s">
        <v>198</v>
      </c>
      <c r="F17" s="368">
        <v>45580</v>
      </c>
      <c r="G17" s="368">
        <v>45582</v>
      </c>
      <c r="H17" s="369"/>
      <c r="I17" s="369"/>
      <c r="J17" s="369"/>
      <c r="K17" s="376"/>
      <c r="L17" s="369"/>
      <c r="M17" s="369"/>
      <c r="N17" s="376"/>
      <c r="O17" s="365"/>
      <c r="P17" s="365"/>
      <c r="Q17" s="365"/>
      <c r="R17" s="372">
        <f>VLOOKUP(Table2[[#This Row],[Course Title]],'TSD-Data'!$A$1:$E$56,4,FALSE)</f>
        <v>0</v>
      </c>
      <c r="S17" s="372">
        <f>VLOOKUP(Table2[[#This Row],[Course Title]],'TSD-Data'!$A$1:$F$53,6,FALSE)</f>
        <v>0</v>
      </c>
      <c r="T17" s="372">
        <f>VLOOKUP(Table2[[#This Row],[Course Title]],'TSD-Data'!$A$1:$E$56,5,FALSE)</f>
        <v>0</v>
      </c>
      <c r="U17" s="369">
        <v>0</v>
      </c>
      <c r="V17" s="369">
        <f>Table2[[#This Row],[Quotas]]-Table2[[#This Row],[Open Quotas]]</f>
        <v>0</v>
      </c>
      <c r="W17" s="369">
        <v>0</v>
      </c>
      <c r="X17" s="369">
        <v>0</v>
      </c>
      <c r="Y17" s="369">
        <v>0</v>
      </c>
      <c r="Z17" s="369">
        <v>0</v>
      </c>
      <c r="AA17" s="369">
        <v>0</v>
      </c>
      <c r="AB17" s="369">
        <v>0</v>
      </c>
      <c r="AC17" s="369" t="s">
        <v>285</v>
      </c>
      <c r="AD17" s="369">
        <v>-118</v>
      </c>
      <c r="AE17" s="369">
        <v>0</v>
      </c>
      <c r="AF17" s="369">
        <v>0</v>
      </c>
      <c r="AG17" s="369">
        <v>0</v>
      </c>
      <c r="AH17" s="369">
        <v>0</v>
      </c>
      <c r="AI17" s="369" t="e">
        <v>#DIV/0!</v>
      </c>
      <c r="AJ17" s="369">
        <v>0</v>
      </c>
      <c r="AK17" s="369">
        <v>1</v>
      </c>
    </row>
    <row r="18" spans="1:37" s="373" customFormat="1" x14ac:dyDescent="0.25">
      <c r="A18" s="365"/>
      <c r="B18" s="365" t="s">
        <v>50</v>
      </c>
      <c r="C18" s="367" t="str">
        <f>VLOOKUP(Table2[[#This Row],[Course Title]],'TSD-Data'!$A$1:$E$56,2,FALSE)</f>
        <v>A-493-0331</v>
      </c>
      <c r="D18" s="367" t="str">
        <f>VLOOKUP(Table2[[#This Row],[Course Title]],'TSD-Data'!$A$1:$E$56,3,FALSE)</f>
        <v>10UG</v>
      </c>
      <c r="E18" s="366" t="s">
        <v>86</v>
      </c>
      <c r="F18" s="375">
        <v>45580</v>
      </c>
      <c r="G18" s="375">
        <v>45582</v>
      </c>
      <c r="H18" s="369"/>
      <c r="I18" s="369">
        <v>1200</v>
      </c>
      <c r="J18" s="381">
        <v>0.375</v>
      </c>
      <c r="K18" s="369">
        <v>1900</v>
      </c>
      <c r="L18" s="369">
        <v>1800</v>
      </c>
      <c r="M18" s="381">
        <v>0.25</v>
      </c>
      <c r="N18" s="381">
        <v>4.1666666666666664E-2</v>
      </c>
      <c r="O18" s="365" t="s">
        <v>318</v>
      </c>
      <c r="P18" s="365"/>
      <c r="Q18" s="365"/>
      <c r="R18" s="372">
        <f>VLOOKUP(Table2[[#This Row],[Course Title]],'TSD-Data'!$A$1:$E$56,4,FALSE)</f>
        <v>45</v>
      </c>
      <c r="S18" s="372">
        <f>VLOOKUP(Table2[[#This Row],[Course Title]],'TSD-Data'!$A$1:$F$53,6,FALSE)</f>
        <v>24</v>
      </c>
      <c r="T18" s="372">
        <f>VLOOKUP(Table2[[#This Row],[Course Title]],'TSD-Data'!$A$1:$E$56,5,FALSE)</f>
        <v>3</v>
      </c>
      <c r="U18" s="369">
        <v>805</v>
      </c>
      <c r="V18" s="369">
        <f>Table2[[#This Row],[Quotas]]-Table2[[#This Row],[Open Quotas]]</f>
        <v>45</v>
      </c>
      <c r="W18" s="369">
        <v>5</v>
      </c>
      <c r="X18" s="369">
        <v>33</v>
      </c>
      <c r="Y18" s="369">
        <v>1</v>
      </c>
      <c r="Z18" s="369">
        <v>15</v>
      </c>
      <c r="AA18" s="369">
        <v>1</v>
      </c>
      <c r="AB18" s="369">
        <v>0</v>
      </c>
      <c r="AC18" s="369" t="s">
        <v>287</v>
      </c>
      <c r="AD18" s="369">
        <v>-118</v>
      </c>
      <c r="AE18" s="369">
        <v>0</v>
      </c>
      <c r="AF18" s="369">
        <v>0</v>
      </c>
      <c r="AG18" s="369">
        <v>1</v>
      </c>
      <c r="AH18" s="369">
        <v>0</v>
      </c>
      <c r="AI18" s="369">
        <v>24</v>
      </c>
      <c r="AJ18" s="369">
        <v>0</v>
      </c>
      <c r="AK18" s="369">
        <v>1</v>
      </c>
    </row>
    <row r="19" spans="1:37" s="373" customFormat="1" x14ac:dyDescent="0.25">
      <c r="A19" s="365"/>
      <c r="B19" s="365" t="s">
        <v>51</v>
      </c>
      <c r="C19" s="367" t="str">
        <f>VLOOKUP(Table2[[#This Row],[Course Title]],'TSD-Data'!$A$1:$E$56,2,FALSE)</f>
        <v>A-493-0335</v>
      </c>
      <c r="D19" s="367" t="str">
        <f>VLOOKUP(Table2[[#This Row],[Course Title]],'TSD-Data'!$A$1:$E$56,3,FALSE)</f>
        <v>09ND</v>
      </c>
      <c r="E19" s="365" t="s">
        <v>86</v>
      </c>
      <c r="F19" s="368">
        <v>45580</v>
      </c>
      <c r="G19" s="368">
        <v>45583</v>
      </c>
      <c r="H19" s="369"/>
      <c r="I19" s="369">
        <v>1200</v>
      </c>
      <c r="J19" s="381">
        <v>0.375</v>
      </c>
      <c r="K19" s="369">
        <v>1900</v>
      </c>
      <c r="L19" s="369">
        <v>1800</v>
      </c>
      <c r="M19" s="381">
        <v>0.25</v>
      </c>
      <c r="N19" s="381">
        <v>4.1666666666666664E-2</v>
      </c>
      <c r="O19" s="365" t="s">
        <v>315</v>
      </c>
      <c r="P19" s="365" t="s">
        <v>274</v>
      </c>
      <c r="Q19" s="365"/>
      <c r="R19" s="372">
        <f>VLOOKUP(Table2[[#This Row],[Course Title]],'TSD-Data'!$A$1:$E$56,4,FALSE)</f>
        <v>45</v>
      </c>
      <c r="S19" s="372">
        <f>VLOOKUP(Table2[[#This Row],[Course Title]],'TSD-Data'!$A$1:$F$53,6,FALSE)</f>
        <v>32</v>
      </c>
      <c r="T19" s="372">
        <f>VLOOKUP(Table2[[#This Row],[Course Title]],'TSD-Data'!$A$1:$E$56,5,FALSE)</f>
        <v>4</v>
      </c>
      <c r="U19" s="369">
        <v>400</v>
      </c>
      <c r="V19" s="369">
        <f>Table2[[#This Row],[Quotas]]-Table2[[#This Row],[Open Quotas]]</f>
        <v>14</v>
      </c>
      <c r="W19" s="369">
        <v>0</v>
      </c>
      <c r="X19" s="369">
        <v>10</v>
      </c>
      <c r="Y19" s="369">
        <v>1</v>
      </c>
      <c r="Z19" s="369">
        <v>3</v>
      </c>
      <c r="AA19" s="369">
        <v>0</v>
      </c>
      <c r="AB19" s="369">
        <v>0</v>
      </c>
      <c r="AC19" s="369" t="s">
        <v>291</v>
      </c>
      <c r="AD19" s="369">
        <v>-117</v>
      </c>
      <c r="AE19" s="369">
        <v>0</v>
      </c>
      <c r="AF19" s="369">
        <v>0</v>
      </c>
      <c r="AG19" s="369">
        <v>1</v>
      </c>
      <c r="AH19" s="369">
        <v>1</v>
      </c>
      <c r="AI19" s="369">
        <v>16</v>
      </c>
      <c r="AJ19" s="369">
        <v>31</v>
      </c>
      <c r="AK19" s="369">
        <v>1</v>
      </c>
    </row>
    <row r="20" spans="1:37" s="373" customFormat="1" x14ac:dyDescent="0.25">
      <c r="A20" s="365"/>
      <c r="B20" s="365" t="s">
        <v>61</v>
      </c>
      <c r="C20" s="367" t="str">
        <f>VLOOKUP(Table2[[#This Row],[Course Title]],'TSD-Data'!$A$1:$E$56,2,FALSE)</f>
        <v>A-493-0078</v>
      </c>
      <c r="D20" s="367">
        <f>VLOOKUP(Table2[[#This Row],[Course Title]],'TSD-Data'!$A$1:$E$56,3,FALSE)</f>
        <v>1228</v>
      </c>
      <c r="E20" s="365" t="s">
        <v>86</v>
      </c>
      <c r="F20" s="368">
        <v>45580</v>
      </c>
      <c r="G20" s="368">
        <v>45583</v>
      </c>
      <c r="H20" s="369"/>
      <c r="I20" s="369">
        <v>1300</v>
      </c>
      <c r="J20" s="369">
        <v>1000</v>
      </c>
      <c r="K20" s="369">
        <v>2000</v>
      </c>
      <c r="L20" s="369">
        <v>1900</v>
      </c>
      <c r="M20" s="370">
        <v>0.29166666666666669</v>
      </c>
      <c r="N20" s="371">
        <v>8.3333333333333329E-2</v>
      </c>
      <c r="O20" s="365" t="s">
        <v>304</v>
      </c>
      <c r="P20" s="365"/>
      <c r="Q20" s="365"/>
      <c r="R20" s="372">
        <f>VLOOKUP(Table2[[#This Row],[Course Title]],'TSD-Data'!$A$1:$E$56,4,FALSE)</f>
        <v>45</v>
      </c>
      <c r="S20" s="372">
        <f>VLOOKUP(Table2[[#This Row],[Course Title]],'TSD-Data'!$A$1:$F$53,6,FALSE)</f>
        <v>32</v>
      </c>
      <c r="T20" s="372">
        <f>VLOOKUP(Table2[[#This Row],[Course Title]],'TSD-Data'!$A$1:$E$56,5,FALSE)</f>
        <v>4</v>
      </c>
      <c r="U20" s="369">
        <v>840</v>
      </c>
      <c r="V20" s="369">
        <f>Table2[[#This Row],[Quotas]]-Table2[[#This Row],[Open Quotas]]</f>
        <v>30</v>
      </c>
      <c r="W20" s="369">
        <v>0</v>
      </c>
      <c r="X20" s="369">
        <v>28</v>
      </c>
      <c r="Y20" s="369">
        <v>1</v>
      </c>
      <c r="Z20" s="369">
        <v>2</v>
      </c>
      <c r="AA20" s="369">
        <v>1</v>
      </c>
      <c r="AB20" s="369">
        <v>0</v>
      </c>
      <c r="AC20" s="369" t="s">
        <v>291</v>
      </c>
      <c r="AD20" s="369">
        <v>-117</v>
      </c>
      <c r="AE20" s="369">
        <v>0</v>
      </c>
      <c r="AF20" s="369">
        <v>0</v>
      </c>
      <c r="AG20" s="369">
        <v>1</v>
      </c>
      <c r="AH20" s="369">
        <v>0</v>
      </c>
      <c r="AI20" s="369">
        <v>32</v>
      </c>
      <c r="AJ20" s="369">
        <v>15</v>
      </c>
      <c r="AK20" s="369">
        <v>1</v>
      </c>
    </row>
    <row r="21" spans="1:37" s="373" customFormat="1" x14ac:dyDescent="0.25">
      <c r="A21" s="365"/>
      <c r="B21" s="365" t="s">
        <v>44</v>
      </c>
      <c r="C21" s="367" t="str">
        <f>VLOOKUP(Table2[[#This Row],[Course Title]],'TSD-Data'!$A$1:$E$56,2,FALSE)</f>
        <v>A-493-0020</v>
      </c>
      <c r="D21" s="367">
        <f>VLOOKUP(Table2[[#This Row],[Course Title]],'TSD-Data'!$A$1:$E$56,3,FALSE)</f>
        <v>3888</v>
      </c>
      <c r="E21" s="365" t="s">
        <v>199</v>
      </c>
      <c r="F21" s="368">
        <v>45581</v>
      </c>
      <c r="G21" s="368">
        <v>45581</v>
      </c>
      <c r="H21" s="369">
        <v>1200</v>
      </c>
      <c r="I21" s="369"/>
      <c r="J21" s="369"/>
      <c r="K21" s="369"/>
      <c r="L21" s="369"/>
      <c r="M21" s="369"/>
      <c r="N21" s="376"/>
      <c r="O21" s="365" t="s">
        <v>316</v>
      </c>
      <c r="P21" s="365"/>
      <c r="Q21" s="365"/>
      <c r="R21" s="372">
        <f>VLOOKUP(Table2[[#This Row],[Course Title]],'TSD-Data'!$A$1:$E$56,4,FALSE)</f>
        <v>30</v>
      </c>
      <c r="S21" s="372">
        <f>VLOOKUP(Table2[[#This Row],[Course Title]],'TSD-Data'!$A$1:$F$53,6,FALSE)</f>
        <v>4</v>
      </c>
      <c r="T21" s="372">
        <f>VLOOKUP(Table2[[#This Row],[Course Title]],'TSD-Data'!$A$1:$E$56,5,FALSE)</f>
        <v>0.5</v>
      </c>
      <c r="U21" s="369">
        <v>7</v>
      </c>
      <c r="V21" s="369">
        <f>Table2[[#This Row],[Quotas]]-Table2[[#This Row],[Open Quotas]]</f>
        <v>13</v>
      </c>
      <c r="W21" s="369">
        <v>0</v>
      </c>
      <c r="X21" s="369">
        <v>13</v>
      </c>
      <c r="Y21" s="369">
        <v>0</v>
      </c>
      <c r="Z21" s="369">
        <v>0</v>
      </c>
      <c r="AA21" s="369">
        <v>0</v>
      </c>
      <c r="AB21" s="369">
        <v>0</v>
      </c>
      <c r="AC21" s="369" t="s">
        <v>287</v>
      </c>
      <c r="AD21" s="369">
        <v>-119</v>
      </c>
      <c r="AE21" s="369">
        <v>0</v>
      </c>
      <c r="AF21" s="369">
        <v>0</v>
      </c>
      <c r="AG21" s="369">
        <v>1</v>
      </c>
      <c r="AH21" s="369">
        <v>0</v>
      </c>
      <c r="AI21" s="369">
        <v>4</v>
      </c>
      <c r="AJ21" s="369">
        <v>17</v>
      </c>
      <c r="AK21" s="369">
        <v>1</v>
      </c>
    </row>
    <row r="22" spans="1:37" s="373" customFormat="1" x14ac:dyDescent="0.25">
      <c r="A22" s="366"/>
      <c r="B22" s="366" t="s">
        <v>53</v>
      </c>
      <c r="C22" s="374" t="str">
        <f>VLOOKUP(Table2[[#This Row],[Course Title]],'TSD-Data'!$A$1:$E$56,2,FALSE)</f>
        <v>A-493-0072</v>
      </c>
      <c r="D22" s="374" t="str">
        <f>VLOOKUP(Table2[[#This Row],[Course Title]],'TSD-Data'!$A$1:$E$56,3,FALSE)</f>
        <v>713U</v>
      </c>
      <c r="E22" s="366" t="s">
        <v>199</v>
      </c>
      <c r="F22" s="375">
        <v>45581</v>
      </c>
      <c r="G22" s="375">
        <v>45581</v>
      </c>
      <c r="H22" s="377">
        <v>0.33333333333333331</v>
      </c>
      <c r="I22" s="376"/>
      <c r="J22" s="376"/>
      <c r="K22" s="376"/>
      <c r="L22" s="376"/>
      <c r="M22" s="376"/>
      <c r="N22" s="376"/>
      <c r="O22" s="366" t="s">
        <v>316</v>
      </c>
      <c r="P22" s="366"/>
      <c r="Q22" s="365"/>
      <c r="R22" s="378">
        <f>VLOOKUP(Table2[[#This Row],[Course Title]],'TSD-Data'!$A$1:$E$56,4,FALSE)</f>
        <v>30</v>
      </c>
      <c r="S22" s="378">
        <f>VLOOKUP(Table2[[#This Row],[Course Title]],'TSD-Data'!$A$1:$F$53,6,FALSE)</f>
        <v>40</v>
      </c>
      <c r="T22" s="378">
        <f>VLOOKUP(Table2[[#This Row],[Course Title]],'TSD-Data'!$A$1:$E$56,5,FALSE)</f>
        <v>5</v>
      </c>
      <c r="U22" s="376">
        <v>170</v>
      </c>
      <c r="V22" s="376">
        <f>Table2[[#This Row],[Quotas]]-Table2[[#This Row],[Open Quotas]]</f>
        <v>24</v>
      </c>
      <c r="W22" s="376">
        <v>0</v>
      </c>
      <c r="X22" s="376">
        <v>26</v>
      </c>
      <c r="Y22" s="376">
        <v>0</v>
      </c>
      <c r="Z22" s="376">
        <v>0</v>
      </c>
      <c r="AA22" s="376">
        <v>0</v>
      </c>
      <c r="AB22" s="376">
        <v>0</v>
      </c>
      <c r="AC22" s="376" t="s">
        <v>287</v>
      </c>
      <c r="AD22" s="376">
        <v>-119</v>
      </c>
      <c r="AE22" s="376">
        <v>0</v>
      </c>
      <c r="AF22" s="376">
        <v>0</v>
      </c>
      <c r="AG22" s="376">
        <v>1</v>
      </c>
      <c r="AH22" s="376">
        <v>0</v>
      </c>
      <c r="AI22" s="376">
        <v>40</v>
      </c>
      <c r="AJ22" s="376">
        <v>6</v>
      </c>
      <c r="AK22" s="376">
        <v>1</v>
      </c>
    </row>
    <row r="23" spans="1:37" s="373" customFormat="1" x14ac:dyDescent="0.25">
      <c r="A23" s="365" t="s">
        <v>526</v>
      </c>
      <c r="B23" s="365" t="s">
        <v>48</v>
      </c>
      <c r="C23" s="367" t="str">
        <f>VLOOKUP(Table2[[#This Row],[Course Title]],'TSD-Data'!$A$1:$E$56,2,FALSE)</f>
        <v>A-760-2166</v>
      </c>
      <c r="D23" s="367" t="str">
        <f>VLOOKUP(Table2[[#This Row],[Course Title]],'TSD-Data'!$A$1:$E$56,3,FALSE)</f>
        <v>438J</v>
      </c>
      <c r="E23" s="366" t="s">
        <v>199</v>
      </c>
      <c r="F23" s="375">
        <v>45582</v>
      </c>
      <c r="G23" s="375">
        <v>45583</v>
      </c>
      <c r="H23" s="377">
        <v>0.33333333333333331</v>
      </c>
      <c r="I23" s="376"/>
      <c r="J23" s="369"/>
      <c r="K23" s="376"/>
      <c r="L23" s="376"/>
      <c r="M23" s="369"/>
      <c r="N23" s="376"/>
      <c r="O23" s="366" t="s">
        <v>316</v>
      </c>
      <c r="P23" s="365"/>
      <c r="Q23" s="365"/>
      <c r="R23" s="372">
        <f>VLOOKUP(Table2[[#This Row],[Course Title]],'TSD-Data'!$A$1:$E$56,4,FALSE)</f>
        <v>25</v>
      </c>
      <c r="S23" s="372">
        <f>VLOOKUP(Table2[[#This Row],[Course Title]],'TSD-Data'!$A$1:$F$53,6,FALSE)</f>
        <v>16</v>
      </c>
      <c r="T23" s="372">
        <f>VLOOKUP(Table2[[#This Row],[Course Title]],'TSD-Data'!$A$1:$E$56,5,FALSE)</f>
        <v>2</v>
      </c>
      <c r="U23" s="369">
        <v>7</v>
      </c>
      <c r="V23" s="369">
        <f>Table2[[#This Row],[Quotas]]-Table2[[#This Row],[Open Quotas]]</f>
        <v>12</v>
      </c>
      <c r="W23" s="369">
        <v>0</v>
      </c>
      <c r="X23" s="369">
        <v>12</v>
      </c>
      <c r="Y23" s="369">
        <v>0</v>
      </c>
      <c r="Z23" s="369">
        <v>0</v>
      </c>
      <c r="AA23" s="369">
        <v>0</v>
      </c>
      <c r="AB23" s="369">
        <v>0</v>
      </c>
      <c r="AC23" s="369" t="s">
        <v>287</v>
      </c>
      <c r="AD23" s="369">
        <v>-117</v>
      </c>
      <c r="AE23" s="369">
        <v>0</v>
      </c>
      <c r="AF23" s="369">
        <v>0</v>
      </c>
      <c r="AG23" s="369">
        <v>1</v>
      </c>
      <c r="AH23" s="369">
        <v>0</v>
      </c>
      <c r="AI23" s="369">
        <v>16</v>
      </c>
      <c r="AJ23" s="369">
        <v>13</v>
      </c>
      <c r="AK23" s="369">
        <v>1</v>
      </c>
    </row>
    <row r="24" spans="1:37" s="373" customFormat="1" x14ac:dyDescent="0.25">
      <c r="A24" s="366"/>
      <c r="B24" s="366" t="s">
        <v>39</v>
      </c>
      <c r="C24" s="374" t="str">
        <f>VLOOKUP(Table2[[#This Row],[Course Title]],'TSD-Data'!$A$1:$E$56,2,FALSE)</f>
        <v>A-570-0100</v>
      </c>
      <c r="D24" s="374" t="str">
        <f>VLOOKUP(Table2[[#This Row],[Course Title]],'TSD-Data'!$A$1:$E$56,3,FALSE)</f>
        <v>18B7</v>
      </c>
      <c r="E24" s="366" t="s">
        <v>86</v>
      </c>
      <c r="F24" s="375">
        <v>45585</v>
      </c>
      <c r="G24" s="375">
        <v>45589</v>
      </c>
      <c r="H24" s="376"/>
      <c r="I24" s="376">
        <v>1900</v>
      </c>
      <c r="J24" s="376">
        <v>1600</v>
      </c>
      <c r="K24" s="371">
        <v>8.3333333333333329E-2</v>
      </c>
      <c r="L24" s="380">
        <v>0</v>
      </c>
      <c r="M24" s="376">
        <v>1300</v>
      </c>
      <c r="N24" s="377">
        <v>0.33333333333333331</v>
      </c>
      <c r="O24" s="366" t="s">
        <v>272</v>
      </c>
      <c r="P24" s="366"/>
      <c r="Q24" s="365"/>
      <c r="R24" s="378">
        <f>VLOOKUP(Table2[[#This Row],[Course Title]],'TSD-Data'!$A$1:$E$56,4,FALSE)</f>
        <v>45</v>
      </c>
      <c r="S24" s="378">
        <f>VLOOKUP(Table2[[#This Row],[Course Title]],'TSD-Data'!$A$1:$F$53,6,FALSE)</f>
        <v>16</v>
      </c>
      <c r="T24" s="378">
        <f>VLOOKUP(Table2[[#This Row],[Course Title]],'TSD-Data'!$A$1:$E$56,5,FALSE)</f>
        <v>2</v>
      </c>
      <c r="U24" s="376">
        <v>132</v>
      </c>
      <c r="V24" s="376">
        <f>Table2[[#This Row],[Quotas]]-Table2[[#This Row],[Open Quotas]]</f>
        <v>18</v>
      </c>
      <c r="W24" s="376">
        <v>0</v>
      </c>
      <c r="X24" s="376">
        <v>14</v>
      </c>
      <c r="Y24" s="376">
        <v>3</v>
      </c>
      <c r="Z24" s="376">
        <v>2</v>
      </c>
      <c r="AA24" s="376">
        <v>1</v>
      </c>
      <c r="AB24" s="376">
        <v>0</v>
      </c>
      <c r="AC24" s="376" t="s">
        <v>281</v>
      </c>
      <c r="AD24" s="376">
        <v>-111</v>
      </c>
      <c r="AE24" s="376">
        <v>0</v>
      </c>
      <c r="AF24" s="376">
        <v>0</v>
      </c>
      <c r="AG24" s="376">
        <v>1</v>
      </c>
      <c r="AH24" s="376">
        <v>0</v>
      </c>
      <c r="AI24" s="376">
        <v>16</v>
      </c>
      <c r="AJ24" s="376">
        <v>27</v>
      </c>
      <c r="AK24" s="376">
        <v>1</v>
      </c>
    </row>
    <row r="25" spans="1:37" s="373" customFormat="1" x14ac:dyDescent="0.25">
      <c r="A25" s="365"/>
      <c r="B25" s="365" t="s">
        <v>45</v>
      </c>
      <c r="C25" s="367" t="str">
        <f>VLOOKUP(Table2[[#This Row],[Course Title]],'TSD-Data'!$A$1:$E$56,2,FALSE)</f>
        <v>A-493-0069</v>
      </c>
      <c r="D25" s="367" t="str">
        <f>VLOOKUP(Table2[[#This Row],[Course Title]],'TSD-Data'!$A$1:$E$56,3,FALSE)</f>
        <v>450U</v>
      </c>
      <c r="E25" s="365" t="s">
        <v>199</v>
      </c>
      <c r="F25" s="368">
        <v>45586</v>
      </c>
      <c r="G25" s="368">
        <v>45590</v>
      </c>
      <c r="H25" s="370">
        <v>0.33333333333333331</v>
      </c>
      <c r="I25" s="369"/>
      <c r="J25" s="376"/>
      <c r="K25" s="376"/>
      <c r="L25" s="369"/>
      <c r="M25" s="369"/>
      <c r="N25" s="369"/>
      <c r="O25" s="365" t="s">
        <v>316</v>
      </c>
      <c r="P25" s="365"/>
      <c r="Q25" s="365"/>
      <c r="R25" s="372">
        <f>VLOOKUP(Table2[[#This Row],[Course Title]],'TSD-Data'!$A$1:$E$56,4,FALSE)</f>
        <v>25</v>
      </c>
      <c r="S25" s="372">
        <f>VLOOKUP(Table2[[#This Row],[Course Title]],'TSD-Data'!$A$1:$F$53,6,FALSE)</f>
        <v>40</v>
      </c>
      <c r="T25" s="372">
        <f>VLOOKUP(Table2[[#This Row],[Course Title]],'TSD-Data'!$A$1:$E$56,5,FALSE)</f>
        <v>5</v>
      </c>
      <c r="U25" s="369">
        <v>13</v>
      </c>
      <c r="V25" s="369">
        <f>Table2[[#This Row],[Quotas]]-Table2[[#This Row],[Open Quotas]]</f>
        <v>5</v>
      </c>
      <c r="W25" s="369">
        <v>0</v>
      </c>
      <c r="X25" s="369">
        <v>4</v>
      </c>
      <c r="Y25" s="369">
        <v>0</v>
      </c>
      <c r="Z25" s="369">
        <v>1</v>
      </c>
      <c r="AA25" s="369">
        <v>0</v>
      </c>
      <c r="AB25" s="369">
        <v>0</v>
      </c>
      <c r="AC25" s="369" t="s">
        <v>287</v>
      </c>
      <c r="AD25" s="369">
        <v>-110</v>
      </c>
      <c r="AE25" s="369">
        <v>0</v>
      </c>
      <c r="AF25" s="369">
        <v>0</v>
      </c>
      <c r="AG25" s="369">
        <v>1</v>
      </c>
      <c r="AH25" s="369">
        <v>0</v>
      </c>
      <c r="AI25" s="369">
        <v>40</v>
      </c>
      <c r="AJ25" s="369">
        <v>20</v>
      </c>
      <c r="AK25" s="369">
        <v>1</v>
      </c>
    </row>
    <row r="26" spans="1:37" s="373" customFormat="1" x14ac:dyDescent="0.25">
      <c r="A26" s="365"/>
      <c r="B26" s="365" t="s">
        <v>47</v>
      </c>
      <c r="C26" s="367" t="str">
        <f>VLOOKUP(Table2[[#This Row],[Course Title]],'TSD-Data'!$A$1:$E$56,2,FALSE)</f>
        <v>A-493-0030</v>
      </c>
      <c r="D26" s="367" t="str">
        <f>VLOOKUP(Table2[[#This Row],[Course Title]],'TSD-Data'!$A$1:$E$56,3,FALSE)</f>
        <v>286X</v>
      </c>
      <c r="E26" s="365" t="s">
        <v>198</v>
      </c>
      <c r="F26" s="368">
        <v>45586</v>
      </c>
      <c r="G26" s="368">
        <v>45590</v>
      </c>
      <c r="H26" s="370">
        <v>0.33333333333333331</v>
      </c>
      <c r="I26" s="369"/>
      <c r="J26" s="369"/>
      <c r="K26" s="369"/>
      <c r="L26" s="369"/>
      <c r="M26" s="369"/>
      <c r="N26" s="369"/>
      <c r="O26" s="365" t="s">
        <v>322</v>
      </c>
      <c r="P26" s="365"/>
      <c r="Q26" s="365"/>
      <c r="R26" s="372">
        <f>VLOOKUP(Table2[[#This Row],[Course Title]],'TSD-Data'!$A$1:$E$56,4,FALSE)</f>
        <v>25</v>
      </c>
      <c r="S26" s="372">
        <f>VLOOKUP(Table2[[#This Row],[Course Title]],'TSD-Data'!$A$1:$F$53,6,FALSE)</f>
        <v>40</v>
      </c>
      <c r="T26" s="372">
        <f>VLOOKUP(Table2[[#This Row],[Course Title]],'TSD-Data'!$A$1:$E$56,5,FALSE)</f>
        <v>5</v>
      </c>
      <c r="U26" s="369">
        <v>63</v>
      </c>
      <c r="V26" s="369">
        <f>Table2[[#This Row],[Quotas]]-Table2[[#This Row],[Open Quotas]]</f>
        <v>25</v>
      </c>
      <c r="W26" s="369">
        <v>0</v>
      </c>
      <c r="X26" s="369">
        <v>16</v>
      </c>
      <c r="Y26" s="369">
        <v>2</v>
      </c>
      <c r="Z26" s="369">
        <v>7</v>
      </c>
      <c r="AA26" s="369">
        <v>1</v>
      </c>
      <c r="AB26" s="369">
        <v>0</v>
      </c>
      <c r="AC26" s="369" t="s">
        <v>287</v>
      </c>
      <c r="AD26" s="369">
        <v>-110</v>
      </c>
      <c r="AE26" s="369">
        <v>0</v>
      </c>
      <c r="AF26" s="369">
        <v>0</v>
      </c>
      <c r="AG26" s="369">
        <v>1</v>
      </c>
      <c r="AH26" s="369">
        <v>0</v>
      </c>
      <c r="AI26" s="369">
        <v>40</v>
      </c>
      <c r="AJ26" s="369">
        <v>0</v>
      </c>
      <c r="AK26" s="369">
        <v>1</v>
      </c>
    </row>
    <row r="27" spans="1:37" s="373" customFormat="1" x14ac:dyDescent="0.25">
      <c r="A27" s="365"/>
      <c r="B27" s="365" t="s">
        <v>17</v>
      </c>
      <c r="C27" s="367" t="str">
        <f>VLOOKUP(Table2[[#This Row],[Course Title]],'TSD-Data'!$A$1:$E$56,2,FALSE)</f>
        <v>A-493-0012</v>
      </c>
      <c r="D27" s="367">
        <f>VLOOKUP(Table2[[#This Row],[Course Title]],'TSD-Data'!$A$1:$E$56,3,FALSE)</f>
        <v>3682</v>
      </c>
      <c r="E27" s="365" t="s">
        <v>192</v>
      </c>
      <c r="F27" s="368">
        <v>45586</v>
      </c>
      <c r="G27" s="368">
        <v>45590</v>
      </c>
      <c r="H27" s="370">
        <v>0.33333333333333331</v>
      </c>
      <c r="I27" s="369"/>
      <c r="J27" s="376"/>
      <c r="K27" s="369"/>
      <c r="L27" s="369"/>
      <c r="M27" s="369"/>
      <c r="N27" s="369"/>
      <c r="O27" s="365" t="s">
        <v>280</v>
      </c>
      <c r="P27" s="365"/>
      <c r="Q27" s="365"/>
      <c r="R27" s="372">
        <f>VLOOKUP(Table2[[#This Row],[Course Title]],'TSD-Data'!$A$1:$E$56,4,FALSE)</f>
        <v>40</v>
      </c>
      <c r="S27" s="372">
        <f>VLOOKUP(Table2[[#This Row],[Course Title]],'TSD-Data'!$A$1:$F$53,6,FALSE)</f>
        <v>40</v>
      </c>
      <c r="T27" s="372">
        <f>VLOOKUP(Table2[[#This Row],[Course Title]],'TSD-Data'!$A$1:$E$56,5,FALSE)</f>
        <v>5</v>
      </c>
      <c r="U27" s="369">
        <v>40</v>
      </c>
      <c r="V27" s="369">
        <f>Table2[[#This Row],[Quotas]]-Table2[[#This Row],[Open Quotas]]</f>
        <v>28</v>
      </c>
      <c r="W27" s="369">
        <v>0</v>
      </c>
      <c r="X27" s="369">
        <v>21</v>
      </c>
      <c r="Y27" s="369">
        <v>0</v>
      </c>
      <c r="Z27" s="369">
        <v>8</v>
      </c>
      <c r="AA27" s="369">
        <v>1</v>
      </c>
      <c r="AB27" s="369">
        <v>0</v>
      </c>
      <c r="AC27" s="369" t="s">
        <v>281</v>
      </c>
      <c r="AD27" s="369">
        <v>-110</v>
      </c>
      <c r="AE27" s="369">
        <v>0</v>
      </c>
      <c r="AF27" s="369">
        <v>0</v>
      </c>
      <c r="AG27" s="369">
        <v>1</v>
      </c>
      <c r="AH27" s="369">
        <v>0</v>
      </c>
      <c r="AI27" s="369">
        <v>40</v>
      </c>
      <c r="AJ27" s="369">
        <v>12</v>
      </c>
      <c r="AK27" s="369">
        <v>1</v>
      </c>
    </row>
    <row r="28" spans="1:37" s="373" customFormat="1" x14ac:dyDescent="0.25">
      <c r="A28" s="365"/>
      <c r="B28" s="366" t="s">
        <v>38</v>
      </c>
      <c r="C28" s="367" t="str">
        <f>VLOOKUP(Table2[[#This Row],[Course Title]],'TSD-Data'!$A$1:$E$56,2,FALSE)</f>
        <v>A-493-0061</v>
      </c>
      <c r="D28" s="367" t="str">
        <f>VLOOKUP(Table2[[#This Row],[Course Title]],'TSD-Data'!$A$1:$E$56,3,FALSE)</f>
        <v>288E</v>
      </c>
      <c r="E28" s="365" t="s">
        <v>86</v>
      </c>
      <c r="F28" s="368">
        <v>45586</v>
      </c>
      <c r="G28" s="368">
        <v>45589</v>
      </c>
      <c r="H28" s="369"/>
      <c r="I28" s="370">
        <v>0.33333333333333331</v>
      </c>
      <c r="J28" s="379">
        <v>0.20833333333333334</v>
      </c>
      <c r="K28" s="369">
        <v>1500</v>
      </c>
      <c r="L28" s="369">
        <v>1400</v>
      </c>
      <c r="M28" s="370">
        <v>8.3333333333333329E-2</v>
      </c>
      <c r="N28" s="369">
        <v>2100</v>
      </c>
      <c r="O28" s="365" t="s">
        <v>303</v>
      </c>
      <c r="P28" s="365"/>
      <c r="Q28" s="365"/>
      <c r="R28" s="372">
        <f>VLOOKUP(Table2[[#This Row],[Course Title]],'TSD-Data'!$A$1:$E$56,4,FALSE)</f>
        <v>45</v>
      </c>
      <c r="S28" s="372">
        <f>VLOOKUP(Table2[[#This Row],[Course Title]],'TSD-Data'!$A$1:$F$53,6,FALSE)</f>
        <v>30</v>
      </c>
      <c r="T28" s="372">
        <f>VLOOKUP(Table2[[#This Row],[Course Title]],'TSD-Data'!$A$1:$E$56,5,FALSE)</f>
        <v>4</v>
      </c>
      <c r="U28" s="369">
        <v>369</v>
      </c>
      <c r="V28" s="369">
        <f>Table2[[#This Row],[Quotas]]-Table2[[#This Row],[Open Quotas]]</f>
        <v>34</v>
      </c>
      <c r="W28" s="369">
        <v>0</v>
      </c>
      <c r="X28" s="369">
        <v>31</v>
      </c>
      <c r="Y28" s="369">
        <v>0</v>
      </c>
      <c r="Z28" s="369">
        <v>4</v>
      </c>
      <c r="AA28" s="369">
        <v>0</v>
      </c>
      <c r="AB28" s="369">
        <v>0</v>
      </c>
      <c r="AC28" s="369" t="s">
        <v>279</v>
      </c>
      <c r="AD28" s="369">
        <v>-111</v>
      </c>
      <c r="AE28" s="369">
        <v>0</v>
      </c>
      <c r="AF28" s="369">
        <v>0</v>
      </c>
      <c r="AG28" s="369">
        <v>1</v>
      </c>
      <c r="AH28" s="369">
        <v>0</v>
      </c>
      <c r="AI28" s="369">
        <v>30</v>
      </c>
      <c r="AJ28" s="369">
        <v>11</v>
      </c>
      <c r="AK28" s="369">
        <v>1</v>
      </c>
    </row>
    <row r="29" spans="1:37" s="373" customFormat="1" x14ac:dyDescent="0.25">
      <c r="A29" s="365"/>
      <c r="B29" s="366" t="s">
        <v>120</v>
      </c>
      <c r="C29" s="367" t="str">
        <f>VLOOKUP(Table2[[#This Row],[Course Title]],'TSD-Data'!$A$1:$E$56,2,FALSE)</f>
        <v>A-322-2604</v>
      </c>
      <c r="D29" s="367" t="str">
        <f>VLOOKUP(Table2[[#This Row],[Course Title]],'TSD-Data'!$A$1:$E$56,3,FALSE)</f>
        <v>10ZZ</v>
      </c>
      <c r="E29" s="365" t="s">
        <v>86</v>
      </c>
      <c r="F29" s="368">
        <v>45586</v>
      </c>
      <c r="G29" s="368">
        <v>45590</v>
      </c>
      <c r="H29" s="369"/>
      <c r="I29" s="370">
        <v>0.33333333333333331</v>
      </c>
      <c r="J29" s="379">
        <v>0.20833333333333334</v>
      </c>
      <c r="K29" s="369">
        <v>1500</v>
      </c>
      <c r="L29" s="369">
        <v>1400</v>
      </c>
      <c r="M29" s="370">
        <v>8.3333333333333329E-2</v>
      </c>
      <c r="N29" s="369">
        <v>2100</v>
      </c>
      <c r="O29" s="365" t="s">
        <v>288</v>
      </c>
      <c r="P29" s="365"/>
      <c r="Q29" s="365"/>
      <c r="R29" s="372">
        <f>VLOOKUP(Table2[[#This Row],[Course Title]],'TSD-Data'!$A$1:$E$56,4,FALSE)</f>
        <v>45</v>
      </c>
      <c r="S29" s="372">
        <f>VLOOKUP(Table2[[#This Row],[Course Title]],'TSD-Data'!$A$1:$F$53,6,FALSE)</f>
        <v>24</v>
      </c>
      <c r="T29" s="372">
        <f>VLOOKUP(Table2[[#This Row],[Course Title]],'TSD-Data'!$A$1:$E$56,5,FALSE)</f>
        <v>3</v>
      </c>
      <c r="U29" s="369">
        <v>357</v>
      </c>
      <c r="V29" s="369">
        <f>Table2[[#This Row],[Quotas]]-Table2[[#This Row],[Open Quotas]]</f>
        <v>37</v>
      </c>
      <c r="W29" s="369">
        <v>0</v>
      </c>
      <c r="X29" s="369">
        <v>30</v>
      </c>
      <c r="Y29" s="369">
        <v>0</v>
      </c>
      <c r="Z29" s="369">
        <v>9</v>
      </c>
      <c r="AA29" s="369">
        <v>0</v>
      </c>
      <c r="AB29" s="369">
        <v>0</v>
      </c>
      <c r="AC29" s="369" t="s">
        <v>281</v>
      </c>
      <c r="AD29" s="369">
        <v>-110</v>
      </c>
      <c r="AE29" s="369">
        <v>0</v>
      </c>
      <c r="AF29" s="369">
        <v>0</v>
      </c>
      <c r="AG29" s="369">
        <v>1</v>
      </c>
      <c r="AH29" s="369">
        <v>0</v>
      </c>
      <c r="AI29" s="369">
        <v>24</v>
      </c>
      <c r="AJ29" s="369">
        <v>8</v>
      </c>
      <c r="AK29" s="369">
        <v>1</v>
      </c>
    </row>
    <row r="30" spans="1:37" s="373" customFormat="1" x14ac:dyDescent="0.25">
      <c r="A30" s="365"/>
      <c r="B30" s="366" t="s">
        <v>59</v>
      </c>
      <c r="C30" s="367" t="str">
        <f>VLOOKUP(Table2[[#This Row],[Course Title]],'TSD-Data'!$A$1:$E$56,2,FALSE)</f>
        <v>A-493-0550</v>
      </c>
      <c r="D30" s="367" t="str">
        <f>VLOOKUP(Table2[[#This Row],[Course Title]],'TSD-Data'!$A$1:$E$56,3,FALSE)</f>
        <v>09K5</v>
      </c>
      <c r="E30" s="365" t="s">
        <v>86</v>
      </c>
      <c r="F30" s="368">
        <v>45586</v>
      </c>
      <c r="G30" s="368">
        <v>45589</v>
      </c>
      <c r="H30" s="369"/>
      <c r="I30" s="370">
        <v>0.33333333333333331</v>
      </c>
      <c r="J30" s="379">
        <v>0.20833333333333334</v>
      </c>
      <c r="K30" s="369">
        <v>1500</v>
      </c>
      <c r="L30" s="369">
        <v>1400</v>
      </c>
      <c r="M30" s="370">
        <v>8.3333333333333329E-2</v>
      </c>
      <c r="N30" s="369">
        <v>2100</v>
      </c>
      <c r="O30" s="365" t="s">
        <v>305</v>
      </c>
      <c r="P30" s="365" t="s">
        <v>301</v>
      </c>
      <c r="Q30" s="365"/>
      <c r="R30" s="372">
        <f>VLOOKUP(Table2[[#This Row],[Course Title]],'TSD-Data'!$A$1:$E$56,4,FALSE)</f>
        <v>45</v>
      </c>
      <c r="S30" s="372">
        <f>VLOOKUP(Table2[[#This Row],[Course Title]],'TSD-Data'!$A$1:$F$53,6,FALSE)</f>
        <v>32</v>
      </c>
      <c r="T30" s="372">
        <f>VLOOKUP(Table2[[#This Row],[Course Title]],'TSD-Data'!$A$1:$E$56,5,FALSE)</f>
        <v>4</v>
      </c>
      <c r="U30" s="369">
        <v>845</v>
      </c>
      <c r="V30" s="369">
        <f>Table2[[#This Row],[Quotas]]-Table2[[#This Row],[Open Quotas]]</f>
        <v>43</v>
      </c>
      <c r="W30" s="369">
        <v>2</v>
      </c>
      <c r="X30" s="369">
        <v>40</v>
      </c>
      <c r="Y30" s="369">
        <v>0</v>
      </c>
      <c r="Z30" s="369">
        <v>5</v>
      </c>
      <c r="AA30" s="369">
        <v>0</v>
      </c>
      <c r="AB30" s="369">
        <v>0</v>
      </c>
      <c r="AC30" s="369" t="s">
        <v>291</v>
      </c>
      <c r="AD30" s="369">
        <v>-111</v>
      </c>
      <c r="AE30" s="369">
        <v>0</v>
      </c>
      <c r="AF30" s="369">
        <v>0</v>
      </c>
      <c r="AG30" s="369">
        <v>1</v>
      </c>
      <c r="AH30" s="369">
        <v>1</v>
      </c>
      <c r="AI30" s="369">
        <v>16</v>
      </c>
      <c r="AJ30" s="369">
        <v>2</v>
      </c>
      <c r="AK30" s="369">
        <v>1</v>
      </c>
    </row>
    <row r="31" spans="1:37" s="373" customFormat="1" x14ac:dyDescent="0.25">
      <c r="A31" s="365"/>
      <c r="B31" s="366" t="s">
        <v>31</v>
      </c>
      <c r="C31" s="367" t="str">
        <f>VLOOKUP(Table2[[#This Row],[Course Title]],'TSD-Data'!$A$1:$E$56,2,FALSE)</f>
        <v>A-493-0083</v>
      </c>
      <c r="D31" s="367" t="str">
        <f>VLOOKUP(Table2[[#This Row],[Course Title]],'TSD-Data'!$A$1:$E$56,3,FALSE)</f>
        <v>339E</v>
      </c>
      <c r="E31" s="366" t="s">
        <v>86</v>
      </c>
      <c r="F31" s="375">
        <v>45589</v>
      </c>
      <c r="G31" s="375">
        <v>45589</v>
      </c>
      <c r="H31" s="369"/>
      <c r="I31" s="370">
        <v>0.33333333333333331</v>
      </c>
      <c r="J31" s="379">
        <v>0.20833333333333334</v>
      </c>
      <c r="K31" s="369">
        <v>1500</v>
      </c>
      <c r="L31" s="369">
        <v>1400</v>
      </c>
      <c r="M31" s="370">
        <v>8.3333333333333329E-2</v>
      </c>
      <c r="N31" s="369">
        <v>2100</v>
      </c>
      <c r="O31" s="365" t="s">
        <v>280</v>
      </c>
      <c r="P31" s="365"/>
      <c r="Q31" s="365"/>
      <c r="R31" s="372">
        <f>VLOOKUP(Table2[[#This Row],[Course Title]],'TSD-Data'!$A$1:$E$56,4,FALSE)</f>
        <v>30</v>
      </c>
      <c r="S31" s="372">
        <f>VLOOKUP(Table2[[#This Row],[Course Title]],'TSD-Data'!$A$1:$F$53,6,FALSE)</f>
        <v>8</v>
      </c>
      <c r="T31" s="372">
        <f>VLOOKUP(Table2[[#This Row],[Course Title]],'TSD-Data'!$A$1:$E$56,5,FALSE)</f>
        <v>1</v>
      </c>
      <c r="U31" s="369">
        <v>0</v>
      </c>
      <c r="V31" s="369">
        <f>Table2[[#This Row],[Quotas]]-Table2[[#This Row],[Open Quotas]]</f>
        <v>12</v>
      </c>
      <c r="W31" s="369">
        <v>0</v>
      </c>
      <c r="X31" s="369">
        <v>12</v>
      </c>
      <c r="Y31" s="369">
        <v>0</v>
      </c>
      <c r="Z31" s="369">
        <v>1</v>
      </c>
      <c r="AA31" s="369">
        <v>0</v>
      </c>
      <c r="AB31" s="369">
        <v>0</v>
      </c>
      <c r="AC31" s="369" t="s">
        <v>281</v>
      </c>
      <c r="AD31" s="369">
        <v>-111</v>
      </c>
      <c r="AE31" s="369">
        <v>0</v>
      </c>
      <c r="AF31" s="369">
        <v>0</v>
      </c>
      <c r="AG31" s="369">
        <v>1</v>
      </c>
      <c r="AH31" s="369">
        <v>0</v>
      </c>
      <c r="AI31" s="369">
        <v>8</v>
      </c>
      <c r="AJ31" s="369">
        <v>18</v>
      </c>
      <c r="AK31" s="369">
        <v>1</v>
      </c>
    </row>
    <row r="32" spans="1:37" s="373" customFormat="1" x14ac:dyDescent="0.25">
      <c r="A32" s="366"/>
      <c r="B32" s="366" t="s">
        <v>35</v>
      </c>
      <c r="C32" s="374" t="str">
        <f>VLOOKUP(Table2[[#This Row],[Course Title]],'TSD-Data'!$A$1:$E$56,2,FALSE)</f>
        <v>A-493-2501</v>
      </c>
      <c r="D32" s="374" t="str">
        <f>VLOOKUP(Table2[[#This Row],[Course Title]],'TSD-Data'!$A$1:$E$56,3,FALSE)</f>
        <v>05ZE</v>
      </c>
      <c r="E32" s="366" t="s">
        <v>159</v>
      </c>
      <c r="F32" s="375">
        <v>45589</v>
      </c>
      <c r="G32" s="375">
        <v>45589</v>
      </c>
      <c r="H32" s="377">
        <v>0.33333333333333331</v>
      </c>
      <c r="I32" s="376"/>
      <c r="J32" s="376"/>
      <c r="K32" s="376"/>
      <c r="L32" s="376"/>
      <c r="M32" s="376"/>
      <c r="N32" s="376"/>
      <c r="O32" s="366" t="s">
        <v>280</v>
      </c>
      <c r="P32" s="366"/>
      <c r="Q32" s="365"/>
      <c r="R32" s="378">
        <f>VLOOKUP(Table2[[#This Row],[Course Title]],'TSD-Data'!$A$1:$E$56,4,FALSE)</f>
        <v>30</v>
      </c>
      <c r="S32" s="378">
        <f>VLOOKUP(Table2[[#This Row],[Course Title]],'TSD-Data'!$A$1:$F$53,6,FALSE)</f>
        <v>8</v>
      </c>
      <c r="T32" s="378">
        <f>VLOOKUP(Table2[[#This Row],[Course Title]],'TSD-Data'!$A$1:$E$56,5,FALSE)</f>
        <v>1</v>
      </c>
      <c r="U32" s="376">
        <v>31</v>
      </c>
      <c r="V32" s="376">
        <f>Table2[[#This Row],[Quotas]]-Table2[[#This Row],[Open Quotas]]</f>
        <v>5</v>
      </c>
      <c r="W32" s="376">
        <v>0</v>
      </c>
      <c r="X32" s="376">
        <v>11</v>
      </c>
      <c r="Y32" s="376">
        <v>0</v>
      </c>
      <c r="Z32" s="376">
        <v>1</v>
      </c>
      <c r="AA32" s="376">
        <v>11</v>
      </c>
      <c r="AB32" s="376">
        <v>0</v>
      </c>
      <c r="AC32" s="376" t="s">
        <v>287</v>
      </c>
      <c r="AD32" s="376">
        <v>-111</v>
      </c>
      <c r="AE32" s="376">
        <v>0</v>
      </c>
      <c r="AF32" s="376">
        <v>0</v>
      </c>
      <c r="AG32" s="376">
        <v>1</v>
      </c>
      <c r="AH32" s="376">
        <v>0</v>
      </c>
      <c r="AI32" s="376">
        <v>8</v>
      </c>
      <c r="AJ32" s="376">
        <v>25</v>
      </c>
      <c r="AK32" s="376">
        <v>1</v>
      </c>
    </row>
    <row r="33" spans="1:37" s="373" customFormat="1" x14ac:dyDescent="0.25">
      <c r="A33" s="366"/>
      <c r="B33" s="366" t="s">
        <v>40</v>
      </c>
      <c r="C33" s="374" t="str">
        <f>VLOOKUP(Table2[[#This Row],[Course Title]],'TSD-Data'!$A$1:$E$56,2,FALSE)</f>
        <v>A-493-2098</v>
      </c>
      <c r="D33" s="374" t="str">
        <f>VLOOKUP(Table2[[#This Row],[Course Title]],'TSD-Data'!$A$1:$E$56,3,FALSE)</f>
        <v>09WW</v>
      </c>
      <c r="E33" s="366" t="s">
        <v>86</v>
      </c>
      <c r="F33" s="375">
        <v>45592</v>
      </c>
      <c r="G33" s="375">
        <v>45596</v>
      </c>
      <c r="H33" s="376"/>
      <c r="I33" s="376">
        <v>1900</v>
      </c>
      <c r="J33" s="376">
        <v>1600</v>
      </c>
      <c r="K33" s="377">
        <v>8.3333333333333329E-2</v>
      </c>
      <c r="L33" s="380">
        <v>0</v>
      </c>
      <c r="M33" s="376">
        <v>1300</v>
      </c>
      <c r="N33" s="377">
        <v>0.33333333333333331</v>
      </c>
      <c r="O33" s="366" t="s">
        <v>282</v>
      </c>
      <c r="P33" s="366"/>
      <c r="Q33" s="365"/>
      <c r="R33" s="378">
        <f>VLOOKUP(Table2[[#This Row],[Course Title]],'TSD-Data'!$A$1:$E$56,4,FALSE)</f>
        <v>100</v>
      </c>
      <c r="S33" s="378">
        <f>VLOOKUP(Table2[[#This Row],[Course Title]],'TSD-Data'!$A$1:$F$53,6,FALSE)</f>
        <v>16</v>
      </c>
      <c r="T33" s="378">
        <f>VLOOKUP(Table2[[#This Row],[Course Title]],'TSD-Data'!$A$1:$E$56,5,FALSE)</f>
        <v>2</v>
      </c>
      <c r="U33" s="376">
        <v>161</v>
      </c>
      <c r="V33" s="376">
        <f>Table2[[#This Row],[Quotas]]-Table2[[#This Row],[Open Quotas]]</f>
        <v>100</v>
      </c>
      <c r="W33" s="376">
        <v>4</v>
      </c>
      <c r="X33" s="376">
        <v>78</v>
      </c>
      <c r="Y33" s="376">
        <v>1</v>
      </c>
      <c r="Z33" s="376">
        <v>16</v>
      </c>
      <c r="AA33" s="376">
        <v>1</v>
      </c>
      <c r="AB33" s="376">
        <v>0</v>
      </c>
      <c r="AC33" s="376" t="s">
        <v>287</v>
      </c>
      <c r="AD33" s="376">
        <v>-104</v>
      </c>
      <c r="AE33" s="376">
        <v>0</v>
      </c>
      <c r="AF33" s="376">
        <v>0</v>
      </c>
      <c r="AG33" s="376">
        <v>1</v>
      </c>
      <c r="AH33" s="376">
        <v>0</v>
      </c>
      <c r="AI33" s="376">
        <v>16</v>
      </c>
      <c r="AJ33" s="376">
        <v>0</v>
      </c>
      <c r="AK33" s="376">
        <v>1</v>
      </c>
    </row>
    <row r="34" spans="1:37" s="373" customFormat="1" x14ac:dyDescent="0.25">
      <c r="A34" s="365"/>
      <c r="B34" s="365" t="s">
        <v>89</v>
      </c>
      <c r="C34" s="367" t="str">
        <f>VLOOKUP(Table2[[#This Row],[Course Title]],'TSD-Data'!$A$1:$E$56,2,FALSE)</f>
        <v>A-493-0014</v>
      </c>
      <c r="D34" s="367">
        <f>VLOOKUP(Table2[[#This Row],[Course Title]],'TSD-Data'!$A$1:$E$56,3,FALSE)</f>
        <v>3878</v>
      </c>
      <c r="E34" s="365" t="s">
        <v>199</v>
      </c>
      <c r="F34" s="368">
        <v>45593</v>
      </c>
      <c r="G34" s="368">
        <v>45595</v>
      </c>
      <c r="H34" s="370">
        <v>0.33333333333333331</v>
      </c>
      <c r="I34" s="369"/>
      <c r="J34" s="369"/>
      <c r="K34" s="369"/>
      <c r="L34" s="369"/>
      <c r="M34" s="369"/>
      <c r="N34" s="369"/>
      <c r="O34" s="365" t="s">
        <v>316</v>
      </c>
      <c r="P34" s="365"/>
      <c r="Q34" s="365"/>
      <c r="R34" s="372">
        <f>VLOOKUP(Table2[[#This Row],[Course Title]],'TSD-Data'!$A$1:$E$56,4,FALSE)</f>
        <v>25</v>
      </c>
      <c r="S34" s="372">
        <f>VLOOKUP(Table2[[#This Row],[Course Title]],'TSD-Data'!$A$1:$F$53,6,FALSE)</f>
        <v>24</v>
      </c>
      <c r="T34" s="372">
        <f>VLOOKUP(Table2[[#This Row],[Course Title]],'TSD-Data'!$A$1:$E$56,5,FALSE)</f>
        <v>3</v>
      </c>
      <c r="U34" s="369">
        <v>66</v>
      </c>
      <c r="V34" s="369">
        <f>Table2[[#This Row],[Quotas]]-Table2[[#This Row],[Open Quotas]]</f>
        <v>10</v>
      </c>
      <c r="W34" s="369">
        <v>0</v>
      </c>
      <c r="X34" s="369">
        <v>9</v>
      </c>
      <c r="Y34" s="369">
        <v>0</v>
      </c>
      <c r="Z34" s="369">
        <v>1</v>
      </c>
      <c r="AA34" s="369">
        <v>0</v>
      </c>
      <c r="AB34" s="369">
        <v>0</v>
      </c>
      <c r="AC34" s="369" t="s">
        <v>287</v>
      </c>
      <c r="AD34" s="369">
        <v>-105</v>
      </c>
      <c r="AE34" s="369">
        <v>0</v>
      </c>
      <c r="AF34" s="369">
        <v>0</v>
      </c>
      <c r="AG34" s="369">
        <v>1</v>
      </c>
      <c r="AH34" s="369">
        <v>0</v>
      </c>
      <c r="AI34" s="369">
        <v>24</v>
      </c>
      <c r="AJ34" s="369">
        <v>15</v>
      </c>
      <c r="AK34" s="369">
        <v>1</v>
      </c>
    </row>
    <row r="35" spans="1:37" s="373" customFormat="1" x14ac:dyDescent="0.25">
      <c r="A35" s="365"/>
      <c r="B35" s="365" t="s">
        <v>61</v>
      </c>
      <c r="C35" s="367" t="str">
        <f>VLOOKUP(Table2[[#This Row],[Course Title]],'TSD-Data'!$A$1:$E$56,2,FALSE)</f>
        <v>A-493-0078</v>
      </c>
      <c r="D35" s="367">
        <f>VLOOKUP(Table2[[#This Row],[Course Title]],'TSD-Data'!$A$1:$E$56,3,FALSE)</f>
        <v>1228</v>
      </c>
      <c r="E35" s="365" t="s">
        <v>86</v>
      </c>
      <c r="F35" s="368">
        <v>45593</v>
      </c>
      <c r="G35" s="368">
        <v>45596</v>
      </c>
      <c r="H35" s="369"/>
      <c r="I35" s="370">
        <v>0.33333333333333331</v>
      </c>
      <c r="J35" s="379">
        <v>0.20833333333333334</v>
      </c>
      <c r="K35" s="369">
        <v>1500</v>
      </c>
      <c r="L35" s="369">
        <v>1400</v>
      </c>
      <c r="M35" s="370">
        <v>8.3333333333333329E-2</v>
      </c>
      <c r="N35" s="369">
        <v>2100</v>
      </c>
      <c r="O35" s="365" t="s">
        <v>304</v>
      </c>
      <c r="P35" s="365"/>
      <c r="Q35" s="365"/>
      <c r="R35" s="372">
        <f>VLOOKUP(Table2[[#This Row],[Course Title]],'TSD-Data'!$A$1:$E$56,4,FALSE)</f>
        <v>45</v>
      </c>
      <c r="S35" s="372">
        <f>VLOOKUP(Table2[[#This Row],[Course Title]],'TSD-Data'!$A$1:$F$53,6,FALSE)</f>
        <v>32</v>
      </c>
      <c r="T35" s="372">
        <f>VLOOKUP(Table2[[#This Row],[Course Title]],'TSD-Data'!$A$1:$E$56,5,FALSE)</f>
        <v>4</v>
      </c>
      <c r="U35" s="369">
        <v>508</v>
      </c>
      <c r="V35" s="369">
        <f>Table2[[#This Row],[Quotas]]-Table2[[#This Row],[Open Quotas]]</f>
        <v>31</v>
      </c>
      <c r="W35" s="369">
        <v>0</v>
      </c>
      <c r="X35" s="369">
        <v>31</v>
      </c>
      <c r="Y35" s="369">
        <v>0</v>
      </c>
      <c r="Z35" s="369">
        <v>3</v>
      </c>
      <c r="AA35" s="369">
        <v>1</v>
      </c>
      <c r="AB35" s="369">
        <v>0</v>
      </c>
      <c r="AC35" s="369" t="s">
        <v>291</v>
      </c>
      <c r="AD35" s="369">
        <v>-104</v>
      </c>
      <c r="AE35" s="369">
        <v>0</v>
      </c>
      <c r="AF35" s="369">
        <v>0</v>
      </c>
      <c r="AG35" s="369">
        <v>1</v>
      </c>
      <c r="AH35" s="369">
        <v>0</v>
      </c>
      <c r="AI35" s="369">
        <v>32</v>
      </c>
      <c r="AJ35" s="369">
        <v>14</v>
      </c>
      <c r="AK35" s="369">
        <v>1</v>
      </c>
    </row>
    <row r="36" spans="1:37" s="373" customFormat="1" x14ac:dyDescent="0.25">
      <c r="A36" s="366"/>
      <c r="B36" s="366" t="s">
        <v>53</v>
      </c>
      <c r="C36" s="374" t="str">
        <f>VLOOKUP(Table2[[#This Row],[Course Title]],'TSD-Data'!$A$1:$E$56,2,FALSE)</f>
        <v>A-493-0072</v>
      </c>
      <c r="D36" s="374" t="str">
        <f>VLOOKUP(Table2[[#This Row],[Course Title]],'TSD-Data'!$A$1:$E$56,3,FALSE)</f>
        <v>713U</v>
      </c>
      <c r="E36" s="366" t="s">
        <v>198</v>
      </c>
      <c r="F36" s="375">
        <v>45593</v>
      </c>
      <c r="G36" s="375">
        <v>45597</v>
      </c>
      <c r="H36" s="377">
        <v>0.33333333333333331</v>
      </c>
      <c r="I36" s="376"/>
      <c r="J36" s="376"/>
      <c r="K36" s="376"/>
      <c r="L36" s="376"/>
      <c r="M36" s="376"/>
      <c r="N36" s="376"/>
      <c r="O36" s="366" t="s">
        <v>278</v>
      </c>
      <c r="P36" s="366" t="s">
        <v>277</v>
      </c>
      <c r="Q36" s="365"/>
      <c r="R36" s="378">
        <f>VLOOKUP(Table2[[#This Row],[Course Title]],'TSD-Data'!$A$1:$E$56,4,FALSE)</f>
        <v>30</v>
      </c>
      <c r="S36" s="378">
        <f>VLOOKUP(Table2[[#This Row],[Course Title]],'TSD-Data'!$A$1:$F$53,6,FALSE)</f>
        <v>40</v>
      </c>
      <c r="T36" s="378">
        <f>VLOOKUP(Table2[[#This Row],[Course Title]],'TSD-Data'!$A$1:$E$56,5,FALSE)</f>
        <v>5</v>
      </c>
      <c r="U36" s="376">
        <v>170</v>
      </c>
      <c r="V36" s="376">
        <f>Table2[[#This Row],[Quotas]]-Table2[[#This Row],[Open Quotas]]</f>
        <v>30</v>
      </c>
      <c r="W36" s="376">
        <v>0</v>
      </c>
      <c r="X36" s="376">
        <v>29</v>
      </c>
      <c r="Y36" s="376">
        <v>2</v>
      </c>
      <c r="Z36" s="376">
        <v>3</v>
      </c>
      <c r="AA36" s="376">
        <v>4</v>
      </c>
      <c r="AB36" s="376">
        <v>0</v>
      </c>
      <c r="AC36" s="376" t="s">
        <v>287</v>
      </c>
      <c r="AD36" s="376">
        <v>-103</v>
      </c>
      <c r="AE36" s="376">
        <v>0</v>
      </c>
      <c r="AF36" s="376">
        <v>0</v>
      </c>
      <c r="AG36" s="376">
        <v>1</v>
      </c>
      <c r="AH36" s="376">
        <v>1</v>
      </c>
      <c r="AI36" s="376">
        <v>20</v>
      </c>
      <c r="AJ36" s="376">
        <v>0</v>
      </c>
      <c r="AK36" s="376">
        <v>1</v>
      </c>
    </row>
    <row r="37" spans="1:37" s="373" customFormat="1" x14ac:dyDescent="0.25">
      <c r="A37" s="365" t="s">
        <v>527</v>
      </c>
      <c r="B37" s="365" t="s">
        <v>28</v>
      </c>
      <c r="C37" s="367" t="str">
        <f>VLOOKUP(Table2[[#This Row],[Course Title]],'TSD-Data'!$A$1:$E$56,2,FALSE)</f>
        <v>A-493-0013</v>
      </c>
      <c r="D37" s="367">
        <f>VLOOKUP(Table2[[#This Row],[Course Title]],'TSD-Data'!$A$1:$E$56,3,FALSE)</f>
        <v>3683</v>
      </c>
      <c r="E37" s="365" t="s">
        <v>167</v>
      </c>
      <c r="F37" s="368">
        <v>45594</v>
      </c>
      <c r="G37" s="368">
        <v>45595</v>
      </c>
      <c r="H37" s="370">
        <v>0.33333333333333331</v>
      </c>
      <c r="I37" s="369"/>
      <c r="J37" s="369"/>
      <c r="K37" s="376"/>
      <c r="L37" s="369"/>
      <c r="M37" s="369"/>
      <c r="N37" s="369"/>
      <c r="O37" s="365" t="s">
        <v>280</v>
      </c>
      <c r="P37" s="365"/>
      <c r="Q37" s="365"/>
      <c r="R37" s="372">
        <f>VLOOKUP(Table2[[#This Row],[Course Title]],'TSD-Data'!$A$1:$E$56,4,FALSE)</f>
        <v>40</v>
      </c>
      <c r="S37" s="372">
        <f>VLOOKUP(Table2[[#This Row],[Course Title]],'TSD-Data'!$A$1:$F$53,6,FALSE)</f>
        <v>24</v>
      </c>
      <c r="T37" s="372">
        <f>VLOOKUP(Table2[[#This Row],[Course Title]],'TSD-Data'!$A$1:$E$56,5,FALSE)</f>
        <v>3</v>
      </c>
      <c r="U37" s="369">
        <v>0</v>
      </c>
      <c r="V37" s="369">
        <f>Table2[[#This Row],[Quotas]]-Table2[[#This Row],[Open Quotas]]</f>
        <v>10</v>
      </c>
      <c r="W37" s="369">
        <v>0</v>
      </c>
      <c r="X37" s="369">
        <v>12</v>
      </c>
      <c r="Y37" s="369">
        <v>0</v>
      </c>
      <c r="Z37" s="369">
        <v>1</v>
      </c>
      <c r="AA37" s="369">
        <v>0</v>
      </c>
      <c r="AB37" s="369">
        <v>0</v>
      </c>
      <c r="AC37" s="369" t="s">
        <v>281</v>
      </c>
      <c r="AD37" s="369">
        <v>-105</v>
      </c>
      <c r="AE37" s="369">
        <v>0</v>
      </c>
      <c r="AF37" s="369">
        <v>0</v>
      </c>
      <c r="AG37" s="369">
        <v>1</v>
      </c>
      <c r="AH37" s="369">
        <v>0</v>
      </c>
      <c r="AI37" s="369">
        <v>24</v>
      </c>
      <c r="AJ37" s="369">
        <v>30</v>
      </c>
      <c r="AK37" s="369">
        <v>1</v>
      </c>
    </row>
    <row r="38" spans="1:37" s="373" customFormat="1" x14ac:dyDescent="0.25">
      <c r="A38" s="365"/>
      <c r="B38" s="365" t="s">
        <v>50</v>
      </c>
      <c r="C38" s="367" t="str">
        <f>VLOOKUP(Table2[[#This Row],[Course Title]],'TSD-Data'!$A$1:$E$56,2,FALSE)</f>
        <v>A-493-0331</v>
      </c>
      <c r="D38" s="367" t="str">
        <f>VLOOKUP(Table2[[#This Row],[Course Title]],'TSD-Data'!$A$1:$E$56,3,FALSE)</f>
        <v>10UG</v>
      </c>
      <c r="E38" s="366" t="s">
        <v>86</v>
      </c>
      <c r="F38" s="368">
        <v>45594</v>
      </c>
      <c r="G38" s="368">
        <v>45596</v>
      </c>
      <c r="H38" s="369"/>
      <c r="I38" s="369">
        <v>1900</v>
      </c>
      <c r="J38" s="369">
        <v>1600</v>
      </c>
      <c r="K38" s="371">
        <v>8.3333333333333329E-2</v>
      </c>
      <c r="L38" s="381">
        <v>0</v>
      </c>
      <c r="M38" s="369">
        <v>1300</v>
      </c>
      <c r="N38" s="370">
        <v>0.33333333333333331</v>
      </c>
      <c r="O38" s="365" t="s">
        <v>318</v>
      </c>
      <c r="P38" s="365"/>
      <c r="Q38" s="365"/>
      <c r="R38" s="372">
        <f>VLOOKUP(Table2[[#This Row],[Course Title]],'TSD-Data'!$A$1:$E$56,4,FALSE)</f>
        <v>45</v>
      </c>
      <c r="S38" s="372">
        <f>VLOOKUP(Table2[[#This Row],[Course Title]],'TSD-Data'!$A$1:$F$53,6,FALSE)</f>
        <v>24</v>
      </c>
      <c r="T38" s="372">
        <f>VLOOKUP(Table2[[#This Row],[Course Title]],'TSD-Data'!$A$1:$E$56,5,FALSE)</f>
        <v>3</v>
      </c>
      <c r="U38" s="369">
        <v>169</v>
      </c>
      <c r="V38" s="369">
        <f>Table2[[#This Row],[Quotas]]-Table2[[#This Row],[Open Quotas]]</f>
        <v>45</v>
      </c>
      <c r="W38" s="369">
        <v>5</v>
      </c>
      <c r="X38" s="369">
        <v>43</v>
      </c>
      <c r="Y38" s="369">
        <v>0</v>
      </c>
      <c r="Z38" s="369">
        <v>5</v>
      </c>
      <c r="AA38" s="369">
        <v>0</v>
      </c>
      <c r="AB38" s="369">
        <v>0</v>
      </c>
      <c r="AC38" s="369" t="s">
        <v>287</v>
      </c>
      <c r="AD38" s="369">
        <v>-104</v>
      </c>
      <c r="AE38" s="369">
        <v>0</v>
      </c>
      <c r="AF38" s="369">
        <v>0</v>
      </c>
      <c r="AG38" s="369">
        <v>1</v>
      </c>
      <c r="AH38" s="369">
        <v>0</v>
      </c>
      <c r="AI38" s="369">
        <v>24</v>
      </c>
      <c r="AJ38" s="369">
        <v>0</v>
      </c>
      <c r="AK38" s="369">
        <v>1</v>
      </c>
    </row>
    <row r="39" spans="1:37" s="373" customFormat="1" x14ac:dyDescent="0.25">
      <c r="A39" s="365"/>
      <c r="B39" s="365" t="s">
        <v>93</v>
      </c>
      <c r="C39" s="367" t="str">
        <f>VLOOKUP(Table2[[#This Row],[Course Title]],'TSD-Data'!$A$1:$E$56,2,FALSE)</f>
        <v>A-493-0019</v>
      </c>
      <c r="D39" s="367">
        <f>VLOOKUP(Table2[[#This Row],[Course Title]],'TSD-Data'!$A$1:$E$56,3,FALSE)</f>
        <v>3882</v>
      </c>
      <c r="E39" s="365" t="s">
        <v>199</v>
      </c>
      <c r="F39" s="368">
        <v>45596</v>
      </c>
      <c r="G39" s="368">
        <v>45597</v>
      </c>
      <c r="H39" s="370">
        <v>0.33333333333333331</v>
      </c>
      <c r="I39" s="369"/>
      <c r="J39" s="369"/>
      <c r="K39" s="369"/>
      <c r="L39" s="369"/>
      <c r="M39" s="369"/>
      <c r="N39" s="369"/>
      <c r="O39" s="365" t="s">
        <v>316</v>
      </c>
      <c r="P39" s="365"/>
      <c r="Q39" s="365"/>
      <c r="R39" s="372">
        <f>VLOOKUP(Table2[[#This Row],[Course Title]],'TSD-Data'!$A$1:$E$56,4,FALSE)</f>
        <v>25</v>
      </c>
      <c r="S39" s="372">
        <f>VLOOKUP(Table2[[#This Row],[Course Title]],'TSD-Data'!$A$1:$F$53,6,FALSE)</f>
        <v>16</v>
      </c>
      <c r="T39" s="372">
        <f>VLOOKUP(Table2[[#This Row],[Course Title]],'TSD-Data'!$A$1:$E$56,5,FALSE)</f>
        <v>2</v>
      </c>
      <c r="U39" s="369">
        <v>5</v>
      </c>
      <c r="V39" s="369">
        <f>Table2[[#This Row],[Quotas]]-Table2[[#This Row],[Open Quotas]]</f>
        <v>7</v>
      </c>
      <c r="W39" s="369">
        <v>0</v>
      </c>
      <c r="X39" s="369">
        <v>7</v>
      </c>
      <c r="Y39" s="369">
        <v>0</v>
      </c>
      <c r="Z39" s="369">
        <v>0</v>
      </c>
      <c r="AA39" s="369">
        <v>1</v>
      </c>
      <c r="AB39" s="369">
        <v>0</v>
      </c>
      <c r="AC39" s="369" t="s">
        <v>287</v>
      </c>
      <c r="AD39" s="369">
        <v>-103</v>
      </c>
      <c r="AE39" s="369">
        <v>0</v>
      </c>
      <c r="AF39" s="369">
        <v>0</v>
      </c>
      <c r="AG39" s="369">
        <v>1</v>
      </c>
      <c r="AH39" s="369">
        <v>0</v>
      </c>
      <c r="AI39" s="369">
        <v>16</v>
      </c>
      <c r="AJ39" s="369">
        <v>18</v>
      </c>
      <c r="AK39" s="369">
        <v>1</v>
      </c>
    </row>
    <row r="40" spans="1:37" s="373" customFormat="1" x14ac:dyDescent="0.25">
      <c r="A40" s="365"/>
      <c r="B40" s="366" t="s">
        <v>120</v>
      </c>
      <c r="C40" s="367" t="str">
        <f>VLOOKUP(Table2[[#This Row],[Course Title]],'TSD-Data'!$A$1:$E$56,2,FALSE)</f>
        <v>A-322-2604</v>
      </c>
      <c r="D40" s="367" t="str">
        <f>VLOOKUP(Table2[[#This Row],[Course Title]],'TSD-Data'!$A$1:$E$56,3,FALSE)</f>
        <v>10ZZ</v>
      </c>
      <c r="E40" s="365" t="s">
        <v>86</v>
      </c>
      <c r="F40" s="375">
        <v>45599</v>
      </c>
      <c r="G40" s="375">
        <v>45603</v>
      </c>
      <c r="H40" s="369"/>
      <c r="I40" s="369">
        <v>1900</v>
      </c>
      <c r="J40" s="369">
        <v>1600</v>
      </c>
      <c r="K40" s="371">
        <v>8.3333333333333329E-2</v>
      </c>
      <c r="L40" s="381">
        <v>0</v>
      </c>
      <c r="M40" s="369">
        <v>1300</v>
      </c>
      <c r="N40" s="370">
        <v>0.33333333333333331</v>
      </c>
      <c r="O40" s="365" t="s">
        <v>288</v>
      </c>
      <c r="P40" s="365"/>
      <c r="Q40" s="365"/>
      <c r="R40" s="372">
        <f>VLOOKUP(Table2[[#This Row],[Course Title]],'TSD-Data'!$A$1:$E$56,4,FALSE)</f>
        <v>45</v>
      </c>
      <c r="S40" s="372">
        <f>VLOOKUP(Table2[[#This Row],[Course Title]],'TSD-Data'!$A$1:$F$53,6,FALSE)</f>
        <v>24</v>
      </c>
      <c r="T40" s="372">
        <f>VLOOKUP(Table2[[#This Row],[Course Title]],'TSD-Data'!$A$1:$E$56,5,FALSE)</f>
        <v>3</v>
      </c>
      <c r="U40" s="369">
        <v>105</v>
      </c>
      <c r="V40" s="369">
        <f>Table2[[#This Row],[Quotas]]-Table2[[#This Row],[Open Quotas]]</f>
        <v>45</v>
      </c>
      <c r="W40" s="369">
        <v>0</v>
      </c>
      <c r="X40" s="369">
        <v>34</v>
      </c>
      <c r="Y40" s="369">
        <v>2</v>
      </c>
      <c r="Z40" s="369">
        <v>9</v>
      </c>
      <c r="AA40" s="369">
        <v>0</v>
      </c>
      <c r="AB40" s="369">
        <v>0</v>
      </c>
      <c r="AC40" s="369" t="s">
        <v>281</v>
      </c>
      <c r="AD40" s="369">
        <v>-97</v>
      </c>
      <c r="AE40" s="369">
        <v>0</v>
      </c>
      <c r="AF40" s="369">
        <v>0</v>
      </c>
      <c r="AG40" s="369">
        <v>1</v>
      </c>
      <c r="AH40" s="369">
        <v>0</v>
      </c>
      <c r="AI40" s="369">
        <v>24</v>
      </c>
      <c r="AJ40" s="369">
        <v>0</v>
      </c>
      <c r="AK40" s="369">
        <v>1</v>
      </c>
    </row>
    <row r="41" spans="1:37" s="373" customFormat="1" x14ac:dyDescent="0.25">
      <c r="A41" s="365"/>
      <c r="B41" s="365" t="s">
        <v>15</v>
      </c>
      <c r="C41" s="367" t="str">
        <f>VLOOKUP(Table2[[#This Row],[Course Title]],'TSD-Data'!$A$1:$E$56,2,FALSE)</f>
        <v>A-4J-0022</v>
      </c>
      <c r="D41" s="367" t="str">
        <f>VLOOKUP(Table2[[#This Row],[Course Title]],'TSD-Data'!$A$1:$E$56,3,FALSE)</f>
        <v>09ER</v>
      </c>
      <c r="E41" s="365" t="s">
        <v>86</v>
      </c>
      <c r="F41" s="368">
        <v>45600</v>
      </c>
      <c r="G41" s="368">
        <v>45604</v>
      </c>
      <c r="H41" s="369"/>
      <c r="I41" s="369">
        <v>1900</v>
      </c>
      <c r="J41" s="369">
        <v>1600</v>
      </c>
      <c r="K41" s="371">
        <v>8.3333333333333329E-2</v>
      </c>
      <c r="L41" s="381">
        <v>0</v>
      </c>
      <c r="M41" s="369">
        <v>1300</v>
      </c>
      <c r="N41" s="377">
        <v>0.33333333333333331</v>
      </c>
      <c r="O41" s="365" t="s">
        <v>272</v>
      </c>
      <c r="P41" s="365"/>
      <c r="Q41" s="365"/>
      <c r="R41" s="372">
        <f>VLOOKUP(Table2[[#This Row],[Course Title]],'TSD-Data'!$A$1:$E$56,4,FALSE)</f>
        <v>45</v>
      </c>
      <c r="S41" s="372">
        <f>VLOOKUP(Table2[[#This Row],[Course Title]],'TSD-Data'!$A$1:$F$53,6,FALSE)</f>
        <v>16</v>
      </c>
      <c r="T41" s="372">
        <f>VLOOKUP(Table2[[#This Row],[Course Title]],'TSD-Data'!$A$1:$E$56,5,FALSE)</f>
        <v>2</v>
      </c>
      <c r="U41" s="369">
        <v>58</v>
      </c>
      <c r="V41" s="369">
        <f>Table2[[#This Row],[Quotas]]-Table2[[#This Row],[Open Quotas]]</f>
        <v>20</v>
      </c>
      <c r="W41" s="369">
        <v>0</v>
      </c>
      <c r="X41" s="369">
        <v>16</v>
      </c>
      <c r="Y41" s="369">
        <v>0</v>
      </c>
      <c r="Z41" s="369">
        <v>4</v>
      </c>
      <c r="AA41" s="369">
        <v>0</v>
      </c>
      <c r="AB41" s="369">
        <v>0</v>
      </c>
      <c r="AC41" s="369" t="s">
        <v>281</v>
      </c>
      <c r="AD41" s="369">
        <v>-96</v>
      </c>
      <c r="AE41" s="369">
        <v>0</v>
      </c>
      <c r="AF41" s="369">
        <v>0</v>
      </c>
      <c r="AG41" s="369">
        <v>1</v>
      </c>
      <c r="AH41" s="369">
        <v>0</v>
      </c>
      <c r="AI41" s="369">
        <v>16</v>
      </c>
      <c r="AJ41" s="369">
        <v>25</v>
      </c>
      <c r="AK41" s="369">
        <v>1</v>
      </c>
    </row>
    <row r="42" spans="1:37" s="373" customFormat="1" x14ac:dyDescent="0.25">
      <c r="A42" s="365"/>
      <c r="B42" s="366" t="s">
        <v>38</v>
      </c>
      <c r="C42" s="367" t="str">
        <f>VLOOKUP(Table2[[#This Row],[Course Title]],'TSD-Data'!$A$1:$E$56,2,FALSE)</f>
        <v>A-493-0061</v>
      </c>
      <c r="D42" s="367" t="str">
        <f>VLOOKUP(Table2[[#This Row],[Course Title]],'TSD-Data'!$A$1:$E$56,3,FALSE)</f>
        <v>288E</v>
      </c>
      <c r="E42" s="365" t="s">
        <v>86</v>
      </c>
      <c r="F42" s="368">
        <v>45600</v>
      </c>
      <c r="G42" s="368">
        <v>45603</v>
      </c>
      <c r="H42" s="369"/>
      <c r="I42" s="369">
        <v>1300</v>
      </c>
      <c r="J42" s="369">
        <v>1000</v>
      </c>
      <c r="K42" s="369">
        <v>2100</v>
      </c>
      <c r="L42" s="369">
        <v>1900</v>
      </c>
      <c r="M42" s="370">
        <v>0.33333333333333331</v>
      </c>
      <c r="N42" s="370">
        <v>0.125</v>
      </c>
      <c r="O42" s="365" t="s">
        <v>303</v>
      </c>
      <c r="P42" s="365"/>
      <c r="Q42" s="365"/>
      <c r="R42" s="372">
        <f>VLOOKUP(Table2[[#This Row],[Course Title]],'TSD-Data'!$A$1:$E$56,4,FALSE)</f>
        <v>45</v>
      </c>
      <c r="S42" s="372">
        <f>VLOOKUP(Table2[[#This Row],[Course Title]],'TSD-Data'!$A$1:$F$53,6,FALSE)</f>
        <v>30</v>
      </c>
      <c r="T42" s="372">
        <f>VLOOKUP(Table2[[#This Row],[Course Title]],'TSD-Data'!$A$1:$E$56,5,FALSE)</f>
        <v>4</v>
      </c>
      <c r="U42" s="369">
        <v>533</v>
      </c>
      <c r="V42" s="369">
        <f>Table2[[#This Row],[Quotas]]-Table2[[#This Row],[Open Quotas]]</f>
        <v>31</v>
      </c>
      <c r="W42" s="369">
        <v>0</v>
      </c>
      <c r="X42" s="369">
        <v>29</v>
      </c>
      <c r="Y42" s="369">
        <v>0</v>
      </c>
      <c r="Z42" s="369">
        <v>3</v>
      </c>
      <c r="AA42" s="369">
        <v>0</v>
      </c>
      <c r="AB42" s="369">
        <v>0</v>
      </c>
      <c r="AC42" s="369" t="s">
        <v>291</v>
      </c>
      <c r="AD42" s="369">
        <v>-97</v>
      </c>
      <c r="AE42" s="369">
        <v>0</v>
      </c>
      <c r="AF42" s="369">
        <v>0</v>
      </c>
      <c r="AG42" s="369">
        <v>1</v>
      </c>
      <c r="AH42" s="369">
        <v>0</v>
      </c>
      <c r="AI42" s="369">
        <v>30</v>
      </c>
      <c r="AJ42" s="369">
        <v>14</v>
      </c>
      <c r="AK42" s="369">
        <v>1</v>
      </c>
    </row>
    <row r="43" spans="1:37" s="373" customFormat="1" x14ac:dyDescent="0.25">
      <c r="A43" s="365"/>
      <c r="B43" s="365" t="s">
        <v>51</v>
      </c>
      <c r="C43" s="367" t="str">
        <f>VLOOKUP(Table2[[#This Row],[Course Title]],'TSD-Data'!$A$1:$E$56,2,FALSE)</f>
        <v>A-493-0335</v>
      </c>
      <c r="D43" s="367" t="str">
        <f>VLOOKUP(Table2[[#This Row],[Course Title]],'TSD-Data'!$A$1:$E$56,3,FALSE)</f>
        <v>09ND</v>
      </c>
      <c r="E43" s="365" t="s">
        <v>86</v>
      </c>
      <c r="F43" s="368">
        <v>45600</v>
      </c>
      <c r="G43" s="368">
        <v>45603</v>
      </c>
      <c r="H43" s="369"/>
      <c r="I43" s="369">
        <v>1200</v>
      </c>
      <c r="J43" s="381">
        <v>0.375</v>
      </c>
      <c r="K43" s="369">
        <v>1900</v>
      </c>
      <c r="L43" s="369">
        <v>1800</v>
      </c>
      <c r="M43" s="381">
        <v>0.25</v>
      </c>
      <c r="N43" s="381">
        <v>4.1666666666666664E-2</v>
      </c>
      <c r="O43" s="365" t="s">
        <v>318</v>
      </c>
      <c r="P43" s="365"/>
      <c r="Q43" s="365"/>
      <c r="R43" s="372">
        <f>VLOOKUP(Table2[[#This Row],[Course Title]],'TSD-Data'!$A$1:$E$56,4,FALSE)</f>
        <v>45</v>
      </c>
      <c r="S43" s="372">
        <f>VLOOKUP(Table2[[#This Row],[Course Title]],'TSD-Data'!$A$1:$F$53,6,FALSE)</f>
        <v>32</v>
      </c>
      <c r="T43" s="372">
        <f>VLOOKUP(Table2[[#This Row],[Course Title]],'TSD-Data'!$A$1:$E$56,5,FALSE)</f>
        <v>4</v>
      </c>
      <c r="U43" s="369">
        <v>400</v>
      </c>
      <c r="V43" s="369">
        <f>Table2[[#This Row],[Quotas]]-Table2[[#This Row],[Open Quotas]]</f>
        <v>24</v>
      </c>
      <c r="W43" s="369">
        <v>0</v>
      </c>
      <c r="X43" s="369">
        <v>20</v>
      </c>
      <c r="Y43" s="369">
        <v>4</v>
      </c>
      <c r="Z43" s="369">
        <v>6</v>
      </c>
      <c r="AA43" s="369">
        <v>0</v>
      </c>
      <c r="AB43" s="382">
        <v>0</v>
      </c>
      <c r="AC43" s="369" t="s">
        <v>281</v>
      </c>
      <c r="AD43" s="369">
        <v>-97</v>
      </c>
      <c r="AE43" s="369">
        <v>0</v>
      </c>
      <c r="AF43" s="369">
        <v>0</v>
      </c>
      <c r="AG43" s="369">
        <v>1</v>
      </c>
      <c r="AH43" s="369">
        <v>0</v>
      </c>
      <c r="AI43" s="369">
        <v>32</v>
      </c>
      <c r="AJ43" s="369">
        <v>21</v>
      </c>
      <c r="AK43" s="369">
        <v>1</v>
      </c>
    </row>
    <row r="44" spans="1:37" s="373" customFormat="1" x14ac:dyDescent="0.25">
      <c r="A44" s="365"/>
      <c r="B44" s="366" t="s">
        <v>59</v>
      </c>
      <c r="C44" s="367" t="str">
        <f>VLOOKUP(Table2[[#This Row],[Course Title]],'TSD-Data'!$A$1:$E$56,2,FALSE)</f>
        <v>A-493-0550</v>
      </c>
      <c r="D44" s="367" t="str">
        <f>VLOOKUP(Table2[[#This Row],[Course Title]],'TSD-Data'!$A$1:$E$56,3,FALSE)</f>
        <v>09K5</v>
      </c>
      <c r="E44" s="365" t="s">
        <v>86</v>
      </c>
      <c r="F44" s="368">
        <v>45600</v>
      </c>
      <c r="G44" s="368">
        <v>45603</v>
      </c>
      <c r="H44" s="369"/>
      <c r="I44" s="369">
        <v>1000</v>
      </c>
      <c r="J44" s="370">
        <v>0.29166666666666669</v>
      </c>
      <c r="K44" s="369">
        <v>1700</v>
      </c>
      <c r="L44" s="369">
        <v>1600</v>
      </c>
      <c r="M44" s="370">
        <v>0.16666666666666666</v>
      </c>
      <c r="N44" s="369">
        <v>2300</v>
      </c>
      <c r="O44" s="365" t="s">
        <v>305</v>
      </c>
      <c r="P44" s="365"/>
      <c r="Q44" s="365"/>
      <c r="R44" s="372">
        <f>VLOOKUP(Table2[[#This Row],[Course Title]],'TSD-Data'!$A$1:$E$56,4,FALSE)</f>
        <v>45</v>
      </c>
      <c r="S44" s="372">
        <f>VLOOKUP(Table2[[#This Row],[Course Title]],'TSD-Data'!$A$1:$F$53,6,FALSE)</f>
        <v>32</v>
      </c>
      <c r="T44" s="372">
        <f>VLOOKUP(Table2[[#This Row],[Course Title]],'TSD-Data'!$A$1:$E$56,5,FALSE)</f>
        <v>4</v>
      </c>
      <c r="U44" s="369">
        <v>465</v>
      </c>
      <c r="V44" s="369">
        <f>Table2[[#This Row],[Quotas]]-Table2[[#This Row],[Open Quotas]]</f>
        <v>42</v>
      </c>
      <c r="W44" s="369">
        <v>3</v>
      </c>
      <c r="X44" s="369">
        <v>41</v>
      </c>
      <c r="Y44" s="369">
        <v>0</v>
      </c>
      <c r="Z44" s="369">
        <v>7</v>
      </c>
      <c r="AA44" s="369">
        <v>0</v>
      </c>
      <c r="AB44" s="369">
        <v>0</v>
      </c>
      <c r="AC44" s="369" t="s">
        <v>291</v>
      </c>
      <c r="AD44" s="369">
        <v>-97</v>
      </c>
      <c r="AE44" s="369">
        <v>0</v>
      </c>
      <c r="AF44" s="369">
        <v>0</v>
      </c>
      <c r="AG44" s="369">
        <v>1</v>
      </c>
      <c r="AH44" s="369">
        <v>0</v>
      </c>
      <c r="AI44" s="369">
        <v>32</v>
      </c>
      <c r="AJ44" s="369">
        <v>3</v>
      </c>
      <c r="AK44" s="369">
        <v>1</v>
      </c>
    </row>
    <row r="45" spans="1:37" s="373" customFormat="1" x14ac:dyDescent="0.25">
      <c r="A45" s="365"/>
      <c r="B45" s="365" t="s">
        <v>61</v>
      </c>
      <c r="C45" s="367" t="str">
        <f>VLOOKUP(Table2[[#This Row],[Course Title]],'TSD-Data'!$A$1:$E$56,2,FALSE)</f>
        <v>A-493-0078</v>
      </c>
      <c r="D45" s="367">
        <f>VLOOKUP(Table2[[#This Row],[Course Title]],'TSD-Data'!$A$1:$E$56,3,FALSE)</f>
        <v>1228</v>
      </c>
      <c r="E45" s="365" t="s">
        <v>86</v>
      </c>
      <c r="F45" s="368">
        <v>45600</v>
      </c>
      <c r="G45" s="368">
        <v>45603</v>
      </c>
      <c r="H45" s="369"/>
      <c r="I45" s="369">
        <v>1000</v>
      </c>
      <c r="J45" s="370">
        <v>0.29166666666666669</v>
      </c>
      <c r="K45" s="369">
        <v>1700</v>
      </c>
      <c r="L45" s="369">
        <v>1600</v>
      </c>
      <c r="M45" s="370">
        <v>0.16666666666666666</v>
      </c>
      <c r="N45" s="369">
        <v>2300</v>
      </c>
      <c r="O45" s="365" t="s">
        <v>304</v>
      </c>
      <c r="P45" s="365"/>
      <c r="Q45" s="365"/>
      <c r="R45" s="372">
        <f>VLOOKUP(Table2[[#This Row],[Course Title]],'TSD-Data'!$A$1:$E$56,4,FALSE)</f>
        <v>45</v>
      </c>
      <c r="S45" s="372">
        <f>VLOOKUP(Table2[[#This Row],[Course Title]],'TSD-Data'!$A$1:$F$53,6,FALSE)</f>
        <v>32</v>
      </c>
      <c r="T45" s="372">
        <f>VLOOKUP(Table2[[#This Row],[Course Title]],'TSD-Data'!$A$1:$E$56,5,FALSE)</f>
        <v>4</v>
      </c>
      <c r="U45" s="369">
        <v>446</v>
      </c>
      <c r="V45" s="369">
        <f>Table2[[#This Row],[Quotas]]-Table2[[#This Row],[Open Quotas]]</f>
        <v>36</v>
      </c>
      <c r="W45" s="369">
        <v>0</v>
      </c>
      <c r="X45" s="369">
        <v>31</v>
      </c>
      <c r="Y45" s="369">
        <v>0</v>
      </c>
      <c r="Z45" s="369">
        <v>7</v>
      </c>
      <c r="AA45" s="369">
        <v>0</v>
      </c>
      <c r="AB45" s="369">
        <v>0</v>
      </c>
      <c r="AC45" s="369" t="s">
        <v>291</v>
      </c>
      <c r="AD45" s="369">
        <v>-97</v>
      </c>
      <c r="AE45" s="369">
        <v>0</v>
      </c>
      <c r="AF45" s="369">
        <v>0</v>
      </c>
      <c r="AG45" s="369">
        <v>1</v>
      </c>
      <c r="AH45" s="369">
        <v>0</v>
      </c>
      <c r="AI45" s="369">
        <v>32</v>
      </c>
      <c r="AJ45" s="369">
        <v>9</v>
      </c>
      <c r="AK45" s="369">
        <v>1</v>
      </c>
    </row>
    <row r="46" spans="1:37" s="373" customFormat="1" x14ac:dyDescent="0.25">
      <c r="A46" s="365" t="s">
        <v>436</v>
      </c>
      <c r="B46" s="366" t="s">
        <v>223</v>
      </c>
      <c r="C46" s="367" t="str">
        <f>VLOOKUP(Table2[[#This Row],[Course Title]],'TSD-Data'!$A$1:$E$56,2,FALSE)</f>
        <v>Holiday</v>
      </c>
      <c r="D46" s="367" t="str">
        <f>VLOOKUP(Table2[[#This Row],[Course Title]],'TSD-Data'!$A$1:$E$56,3,FALSE)</f>
        <v>Holiday</v>
      </c>
      <c r="E46" s="366" t="s">
        <v>223</v>
      </c>
      <c r="F46" s="368">
        <v>45607</v>
      </c>
      <c r="G46" s="368">
        <v>45607</v>
      </c>
      <c r="H46" s="369"/>
      <c r="I46" s="369"/>
      <c r="J46" s="369"/>
      <c r="K46" s="369"/>
      <c r="L46" s="369"/>
      <c r="M46" s="369"/>
      <c r="N46" s="369"/>
      <c r="O46" s="365"/>
      <c r="P46" s="365"/>
      <c r="Q46" s="365"/>
      <c r="R46" s="372">
        <f>VLOOKUP(Table2[[#This Row],[Course Title]],'TSD-Data'!$A$1:$E$56,4,FALSE)</f>
        <v>0</v>
      </c>
      <c r="S46" s="372">
        <f>VLOOKUP(Table2[[#This Row],[Course Title]],'TSD-Data'!$A$1:$F$53,6,FALSE)</f>
        <v>0</v>
      </c>
      <c r="T46" s="372">
        <f>VLOOKUP(Table2[[#This Row],[Course Title]],'TSD-Data'!$A$1:$E$56,5,FALSE)</f>
        <v>0</v>
      </c>
      <c r="U46" s="369">
        <v>0</v>
      </c>
      <c r="V46" s="369">
        <f>Table2[[#This Row],[Quotas]]-Table2[[#This Row],[Open Quotas]]</f>
        <v>0</v>
      </c>
      <c r="W46" s="369">
        <v>0</v>
      </c>
      <c r="X46" s="369">
        <v>0</v>
      </c>
      <c r="Y46" s="369">
        <v>0</v>
      </c>
      <c r="Z46" s="369">
        <v>0</v>
      </c>
      <c r="AA46" s="369">
        <v>0</v>
      </c>
      <c r="AB46" s="369">
        <v>0</v>
      </c>
      <c r="AC46" s="369" t="s">
        <v>285</v>
      </c>
      <c r="AD46" s="369">
        <v>-93</v>
      </c>
      <c r="AE46" s="369">
        <v>0</v>
      </c>
      <c r="AF46" s="369">
        <v>0</v>
      </c>
      <c r="AG46" s="369">
        <v>0</v>
      </c>
      <c r="AH46" s="369">
        <v>0</v>
      </c>
      <c r="AI46" s="369" t="e">
        <v>#DIV/0!</v>
      </c>
      <c r="AJ46" s="369">
        <v>0</v>
      </c>
      <c r="AK46" s="369">
        <v>1</v>
      </c>
    </row>
    <row r="47" spans="1:37" s="373" customFormat="1" x14ac:dyDescent="0.25">
      <c r="A47" s="365"/>
      <c r="B47" s="366" t="s">
        <v>32</v>
      </c>
      <c r="C47" s="367" t="str">
        <f>VLOOKUP(Table2[[#This Row],[Course Title]],'TSD-Data'!$A$1:$E$56,2,FALSE)</f>
        <v>A-493-2300</v>
      </c>
      <c r="D47" s="367" t="str">
        <f>VLOOKUP(Table2[[#This Row],[Course Title]],'TSD-Data'!$A$1:$E$56,3,FALSE)</f>
        <v>993F</v>
      </c>
      <c r="E47" s="366" t="s">
        <v>185</v>
      </c>
      <c r="F47" s="368">
        <v>45608</v>
      </c>
      <c r="G47" s="368">
        <v>45609</v>
      </c>
      <c r="H47" s="370">
        <v>0.33333333333333331</v>
      </c>
      <c r="I47" s="369"/>
      <c r="J47" s="369"/>
      <c r="K47" s="369"/>
      <c r="L47" s="369"/>
      <c r="M47" s="369"/>
      <c r="N47" s="376"/>
      <c r="O47" s="365" t="s">
        <v>280</v>
      </c>
      <c r="P47" s="365"/>
      <c r="Q47" s="365"/>
      <c r="R47" s="372">
        <f>VLOOKUP(Table2[[#This Row],[Course Title]],'TSD-Data'!$A$1:$E$56,4,FALSE)</f>
        <v>30</v>
      </c>
      <c r="S47" s="372">
        <f>VLOOKUP(Table2[[#This Row],[Course Title]],'TSD-Data'!$A$1:$F$53,6,FALSE)</f>
        <v>16</v>
      </c>
      <c r="T47" s="372">
        <f>VLOOKUP(Table2[[#This Row],[Course Title]],'TSD-Data'!$A$1:$E$56,5,FALSE)</f>
        <v>2</v>
      </c>
      <c r="U47" s="369">
        <v>13</v>
      </c>
      <c r="V47" s="369">
        <f>Table2[[#This Row],[Quotas]]-Table2[[#This Row],[Open Quotas]]</f>
        <v>13</v>
      </c>
      <c r="W47" s="369">
        <v>0</v>
      </c>
      <c r="X47" s="369">
        <v>11</v>
      </c>
      <c r="Y47" s="369">
        <v>0</v>
      </c>
      <c r="Z47" s="369">
        <v>3</v>
      </c>
      <c r="AA47" s="369">
        <v>2</v>
      </c>
      <c r="AB47" s="369">
        <v>0</v>
      </c>
      <c r="AC47" s="369" t="s">
        <v>287</v>
      </c>
      <c r="AD47" s="369">
        <v>-91</v>
      </c>
      <c r="AE47" s="369">
        <v>0</v>
      </c>
      <c r="AF47" s="369">
        <v>0</v>
      </c>
      <c r="AG47" s="369">
        <v>1</v>
      </c>
      <c r="AH47" s="369">
        <v>0</v>
      </c>
      <c r="AI47" s="369">
        <v>16</v>
      </c>
      <c r="AJ47" s="369">
        <v>17</v>
      </c>
      <c r="AK47" s="369">
        <v>1</v>
      </c>
    </row>
    <row r="48" spans="1:37" s="373" customFormat="1" x14ac:dyDescent="0.25">
      <c r="A48" s="365"/>
      <c r="B48" s="365" t="s">
        <v>50</v>
      </c>
      <c r="C48" s="367" t="str">
        <f>VLOOKUP(Table2[[#This Row],[Course Title]],'TSD-Data'!$A$1:$E$56,2,FALSE)</f>
        <v>A-493-0331</v>
      </c>
      <c r="D48" s="367" t="str">
        <f>VLOOKUP(Table2[[#This Row],[Course Title]],'TSD-Data'!$A$1:$E$56,3,FALSE)</f>
        <v>10UG</v>
      </c>
      <c r="E48" s="366" t="s">
        <v>86</v>
      </c>
      <c r="F48" s="368">
        <v>45608</v>
      </c>
      <c r="G48" s="368">
        <v>45610</v>
      </c>
      <c r="H48" s="369"/>
      <c r="I48" s="369">
        <v>1200</v>
      </c>
      <c r="J48" s="381">
        <v>0.375</v>
      </c>
      <c r="K48" s="369">
        <v>2000</v>
      </c>
      <c r="L48" s="369">
        <v>1800</v>
      </c>
      <c r="M48" s="370">
        <v>0.29166666666666669</v>
      </c>
      <c r="N48" s="371">
        <v>8.3333333333333329E-2</v>
      </c>
      <c r="O48" s="365" t="s">
        <v>318</v>
      </c>
      <c r="P48" s="365"/>
      <c r="Q48" s="365"/>
      <c r="R48" s="372">
        <f>VLOOKUP(Table2[[#This Row],[Course Title]],'TSD-Data'!$A$1:$E$56,4,FALSE)</f>
        <v>45</v>
      </c>
      <c r="S48" s="372">
        <f>VLOOKUP(Table2[[#This Row],[Course Title]],'TSD-Data'!$A$1:$F$53,6,FALSE)</f>
        <v>24</v>
      </c>
      <c r="T48" s="372">
        <f>VLOOKUP(Table2[[#This Row],[Course Title]],'TSD-Data'!$A$1:$E$56,5,FALSE)</f>
        <v>3</v>
      </c>
      <c r="U48" s="369">
        <v>805</v>
      </c>
      <c r="V48" s="369">
        <f>Table2[[#This Row],[Quotas]]-Table2[[#This Row],[Open Quotas]]</f>
        <v>45</v>
      </c>
      <c r="W48" s="369">
        <v>4</v>
      </c>
      <c r="X48" s="369">
        <v>45</v>
      </c>
      <c r="Y48" s="369">
        <v>0</v>
      </c>
      <c r="Z48" s="369">
        <v>5</v>
      </c>
      <c r="AA48" s="369">
        <v>1</v>
      </c>
      <c r="AB48" s="369">
        <v>0</v>
      </c>
      <c r="AC48" s="369" t="s">
        <v>287</v>
      </c>
      <c r="AD48" s="369">
        <v>-90</v>
      </c>
      <c r="AE48" s="369">
        <v>0</v>
      </c>
      <c r="AF48" s="369">
        <v>0</v>
      </c>
      <c r="AG48" s="369">
        <v>1</v>
      </c>
      <c r="AH48" s="369">
        <v>0</v>
      </c>
      <c r="AI48" s="369">
        <v>24</v>
      </c>
      <c r="AJ48" s="369">
        <v>0</v>
      </c>
      <c r="AK48" s="369">
        <v>1</v>
      </c>
    </row>
    <row r="49" spans="1:37" s="373" customFormat="1" x14ac:dyDescent="0.25">
      <c r="A49" s="365"/>
      <c r="B49" s="365" t="s">
        <v>49</v>
      </c>
      <c r="C49" s="367" t="str">
        <f>VLOOKUP(Table2[[#This Row],[Course Title]],'TSD-Data'!$A$1:$E$56,2,FALSE)</f>
        <v>A-493-0092</v>
      </c>
      <c r="D49" s="367">
        <f>VLOOKUP(Table2[[#This Row],[Course Title]],'TSD-Data'!$A$1:$E$56,3,FALSE)</f>
        <v>5891</v>
      </c>
      <c r="E49" s="365" t="s">
        <v>198</v>
      </c>
      <c r="F49" s="368">
        <v>45609</v>
      </c>
      <c r="G49" s="368">
        <v>45611</v>
      </c>
      <c r="H49" s="370">
        <v>0.33333333333333331</v>
      </c>
      <c r="I49" s="369"/>
      <c r="J49" s="369"/>
      <c r="K49" s="369"/>
      <c r="L49" s="369"/>
      <c r="M49" s="369"/>
      <c r="N49" s="369"/>
      <c r="O49" s="365" t="s">
        <v>316</v>
      </c>
      <c r="P49" s="365" t="s">
        <v>274</v>
      </c>
      <c r="Q49" s="365"/>
      <c r="R49" s="372">
        <f>VLOOKUP(Table2[[#This Row],[Course Title]],'TSD-Data'!$A$1:$E$56,4,FALSE)</f>
        <v>25</v>
      </c>
      <c r="S49" s="372">
        <f>VLOOKUP(Table2[[#This Row],[Course Title]],'TSD-Data'!$A$1:$F$53,6,FALSE)</f>
        <v>24</v>
      </c>
      <c r="T49" s="372">
        <f>VLOOKUP(Table2[[#This Row],[Course Title]],'TSD-Data'!$A$1:$E$56,5,FALSE)</f>
        <v>3</v>
      </c>
      <c r="U49" s="369">
        <v>72</v>
      </c>
      <c r="V49" s="369">
        <f>Table2[[#This Row],[Quotas]]-Table2[[#This Row],[Open Quotas]]</f>
        <v>6</v>
      </c>
      <c r="W49" s="369">
        <v>0</v>
      </c>
      <c r="X49" s="369">
        <v>6</v>
      </c>
      <c r="Y49" s="369">
        <v>0</v>
      </c>
      <c r="Z49" s="369">
        <v>0</v>
      </c>
      <c r="AA49" s="369">
        <v>0</v>
      </c>
      <c r="AB49" s="369">
        <v>0</v>
      </c>
      <c r="AC49" s="369" t="s">
        <v>287</v>
      </c>
      <c r="AD49" s="369">
        <v>-89</v>
      </c>
      <c r="AE49" s="369">
        <v>0</v>
      </c>
      <c r="AF49" s="369">
        <v>0</v>
      </c>
      <c r="AG49" s="369">
        <v>1</v>
      </c>
      <c r="AH49" s="369">
        <v>1</v>
      </c>
      <c r="AI49" s="369">
        <v>12</v>
      </c>
      <c r="AJ49" s="369">
        <v>19</v>
      </c>
      <c r="AK49" s="369">
        <v>1</v>
      </c>
    </row>
    <row r="50" spans="1:37" s="373" customFormat="1" x14ac:dyDescent="0.25">
      <c r="A50" s="365"/>
      <c r="B50" s="366" t="s">
        <v>34</v>
      </c>
      <c r="C50" s="367" t="str">
        <f>VLOOKUP(Table2[[#This Row],[Course Title]],'TSD-Data'!$A$1:$E$56,2,FALSE)</f>
        <v>A-493-0216</v>
      </c>
      <c r="D50" s="367" t="str">
        <f>VLOOKUP(Table2[[#This Row],[Course Title]],'TSD-Data'!$A$1:$E$56,3,FALSE)</f>
        <v>12X8</v>
      </c>
      <c r="E50" s="366" t="s">
        <v>185</v>
      </c>
      <c r="F50" s="368">
        <v>45610</v>
      </c>
      <c r="G50" s="368">
        <v>45610</v>
      </c>
      <c r="H50" s="370">
        <v>0.33333333333333331</v>
      </c>
      <c r="I50" s="369"/>
      <c r="J50" s="369"/>
      <c r="K50" s="369"/>
      <c r="L50" s="369"/>
      <c r="M50" s="369"/>
      <c r="N50" s="369"/>
      <c r="O50" s="365" t="s">
        <v>280</v>
      </c>
      <c r="P50" s="365"/>
      <c r="Q50" s="365"/>
      <c r="R50" s="372">
        <f>VLOOKUP(Table2[[#This Row],[Course Title]],'TSD-Data'!$A$1:$E$56,4,FALSE)</f>
        <v>30</v>
      </c>
      <c r="S50" s="372">
        <f>VLOOKUP(Table2[[#This Row],[Course Title]],'TSD-Data'!$A$1:$F$53,6,FALSE)</f>
        <v>8</v>
      </c>
      <c r="T50" s="372">
        <f>VLOOKUP(Table2[[#This Row],[Course Title]],'TSD-Data'!$A$1:$E$56,5,FALSE)</f>
        <v>1</v>
      </c>
      <c r="U50" s="369">
        <v>7</v>
      </c>
      <c r="V50" s="369">
        <f>Table2[[#This Row],[Quotas]]-Table2[[#This Row],[Open Quotas]]</f>
        <v>10</v>
      </c>
      <c r="W50" s="369">
        <v>0</v>
      </c>
      <c r="X50" s="369">
        <v>9</v>
      </c>
      <c r="Y50" s="369">
        <v>0</v>
      </c>
      <c r="Z50" s="369">
        <v>4</v>
      </c>
      <c r="AA50" s="369">
        <v>2</v>
      </c>
      <c r="AB50" s="369">
        <v>0</v>
      </c>
      <c r="AC50" s="369" t="s">
        <v>287</v>
      </c>
      <c r="AD50" s="369">
        <v>-90</v>
      </c>
      <c r="AE50" s="369">
        <v>0</v>
      </c>
      <c r="AF50" s="369">
        <v>0</v>
      </c>
      <c r="AG50" s="369">
        <v>1</v>
      </c>
      <c r="AH50" s="369">
        <v>0</v>
      </c>
      <c r="AI50" s="369">
        <v>8</v>
      </c>
      <c r="AJ50" s="369">
        <v>20</v>
      </c>
      <c r="AK50" s="369">
        <v>1</v>
      </c>
    </row>
    <row r="51" spans="1:37" s="373" customFormat="1" x14ac:dyDescent="0.25">
      <c r="A51" s="365"/>
      <c r="B51" s="365" t="s">
        <v>37</v>
      </c>
      <c r="C51" s="367" t="str">
        <f>VLOOKUP(Table2[[#This Row],[Course Title]],'TSD-Data'!$A$1:$E$56,2,FALSE)</f>
        <v>A-493-0665</v>
      </c>
      <c r="D51" s="367" t="str">
        <f>VLOOKUP(Table2[[#This Row],[Course Title]],'TSD-Data'!$A$1:$E$56,3,FALSE)</f>
        <v>10KW</v>
      </c>
      <c r="E51" s="365" t="s">
        <v>86</v>
      </c>
      <c r="F51" s="368">
        <v>45613</v>
      </c>
      <c r="G51" s="368">
        <v>45617</v>
      </c>
      <c r="H51" s="369"/>
      <c r="I51" s="369">
        <v>1900</v>
      </c>
      <c r="J51" s="376">
        <v>1600</v>
      </c>
      <c r="K51" s="370">
        <v>0.125</v>
      </c>
      <c r="L51" s="381">
        <v>4.1666666666666664E-2</v>
      </c>
      <c r="M51" s="369">
        <v>1400</v>
      </c>
      <c r="N51" s="381">
        <v>0.375</v>
      </c>
      <c r="O51" s="365" t="s">
        <v>282</v>
      </c>
      <c r="P51" s="365"/>
      <c r="Q51" s="365"/>
      <c r="R51" s="372">
        <f>VLOOKUP(Table2[[#This Row],[Course Title]],'TSD-Data'!$A$1:$E$56,4,FALSE)</f>
        <v>45</v>
      </c>
      <c r="S51" s="372">
        <f>VLOOKUP(Table2[[#This Row],[Course Title]],'TSD-Data'!$A$1:$F$53,6,FALSE)</f>
        <v>24</v>
      </c>
      <c r="T51" s="372">
        <f>VLOOKUP(Table2[[#This Row],[Course Title]],'TSD-Data'!$A$1:$E$56,5,FALSE)</f>
        <v>3</v>
      </c>
      <c r="U51" s="369">
        <v>39</v>
      </c>
      <c r="V51" s="369">
        <f>Table2[[#This Row],[Quotas]]-Table2[[#This Row],[Open Quotas]]</f>
        <v>43</v>
      </c>
      <c r="W51" s="369">
        <v>0</v>
      </c>
      <c r="X51" s="369">
        <v>33</v>
      </c>
      <c r="Y51" s="369">
        <v>0</v>
      </c>
      <c r="Z51" s="369">
        <v>10</v>
      </c>
      <c r="AA51" s="369">
        <v>0</v>
      </c>
      <c r="AB51" s="369">
        <v>0</v>
      </c>
      <c r="AC51" s="369" t="s">
        <v>281</v>
      </c>
      <c r="AD51" s="369">
        <v>-83</v>
      </c>
      <c r="AE51" s="369">
        <v>0</v>
      </c>
      <c r="AF51" s="369">
        <v>0</v>
      </c>
      <c r="AG51" s="369">
        <v>1</v>
      </c>
      <c r="AH51" s="369">
        <v>0</v>
      </c>
      <c r="AI51" s="369">
        <v>24</v>
      </c>
      <c r="AJ51" s="369">
        <v>2</v>
      </c>
      <c r="AK51" s="369">
        <v>1</v>
      </c>
    </row>
    <row r="52" spans="1:37" s="373" customFormat="1" x14ac:dyDescent="0.25">
      <c r="A52" s="365"/>
      <c r="B52" s="365" t="s">
        <v>17</v>
      </c>
      <c r="C52" s="367" t="str">
        <f>VLOOKUP(Table2[[#This Row],[Course Title]],'TSD-Data'!$A$1:$E$56,2,FALSE)</f>
        <v>A-493-0012</v>
      </c>
      <c r="D52" s="367">
        <f>VLOOKUP(Table2[[#This Row],[Course Title]],'TSD-Data'!$A$1:$E$56,3,FALSE)</f>
        <v>3682</v>
      </c>
      <c r="E52" s="366" t="s">
        <v>178</v>
      </c>
      <c r="F52" s="375">
        <v>45614</v>
      </c>
      <c r="G52" s="375">
        <v>45618</v>
      </c>
      <c r="H52" s="377">
        <v>0.33333333333333331</v>
      </c>
      <c r="I52" s="376"/>
      <c r="J52" s="376"/>
      <c r="K52" s="369"/>
      <c r="L52" s="369"/>
      <c r="M52" s="376"/>
      <c r="N52" s="376"/>
      <c r="O52" s="366" t="s">
        <v>280</v>
      </c>
      <c r="P52" s="365"/>
      <c r="Q52" s="365"/>
      <c r="R52" s="372">
        <f>VLOOKUP(Table2[[#This Row],[Course Title]],'TSD-Data'!$A$1:$E$56,4,FALSE)</f>
        <v>40</v>
      </c>
      <c r="S52" s="372">
        <f>VLOOKUP(Table2[[#This Row],[Course Title]],'TSD-Data'!$A$1:$F$53,6,FALSE)</f>
        <v>40</v>
      </c>
      <c r="T52" s="372">
        <f>VLOOKUP(Table2[[#This Row],[Course Title]],'TSD-Data'!$A$1:$E$56,5,FALSE)</f>
        <v>5</v>
      </c>
      <c r="U52" s="369">
        <v>80</v>
      </c>
      <c r="V52" s="369">
        <f>Table2[[#This Row],[Quotas]]-Table2[[#This Row],[Open Quotas]]</f>
        <v>9</v>
      </c>
      <c r="W52" s="369">
        <v>0</v>
      </c>
      <c r="X52" s="369">
        <v>33</v>
      </c>
      <c r="Y52" s="369">
        <v>0</v>
      </c>
      <c r="Z52" s="369">
        <v>2</v>
      </c>
      <c r="AA52" s="369">
        <v>26</v>
      </c>
      <c r="AB52" s="369">
        <v>19</v>
      </c>
      <c r="AC52" s="369" t="s">
        <v>281</v>
      </c>
      <c r="AD52" s="369">
        <v>-82</v>
      </c>
      <c r="AE52" s="369">
        <v>0</v>
      </c>
      <c r="AF52" s="369">
        <v>0</v>
      </c>
      <c r="AG52" s="369">
        <v>1</v>
      </c>
      <c r="AH52" s="369">
        <v>0</v>
      </c>
      <c r="AI52" s="369">
        <v>40</v>
      </c>
      <c r="AJ52" s="369">
        <v>31</v>
      </c>
      <c r="AK52" s="369">
        <v>1</v>
      </c>
    </row>
    <row r="53" spans="1:37" s="373" customFormat="1" x14ac:dyDescent="0.25">
      <c r="A53" s="365"/>
      <c r="B53" s="366" t="s">
        <v>32</v>
      </c>
      <c r="C53" s="367" t="str">
        <f>VLOOKUP(Table2[[#This Row],[Course Title]],'TSD-Data'!$A$1:$E$56,2,FALSE)</f>
        <v>A-493-2300</v>
      </c>
      <c r="D53" s="367" t="str">
        <f>VLOOKUP(Table2[[#This Row],[Course Title]],'TSD-Data'!$A$1:$E$56,3,FALSE)</f>
        <v>993F</v>
      </c>
      <c r="E53" s="366" t="s">
        <v>171</v>
      </c>
      <c r="F53" s="375">
        <v>45614</v>
      </c>
      <c r="G53" s="375">
        <v>45615</v>
      </c>
      <c r="H53" s="370">
        <v>0.33333333333333331</v>
      </c>
      <c r="I53" s="369"/>
      <c r="J53" s="376"/>
      <c r="K53" s="369"/>
      <c r="L53" s="369"/>
      <c r="M53" s="369"/>
      <c r="N53" s="369"/>
      <c r="O53" s="365" t="s">
        <v>280</v>
      </c>
      <c r="P53" s="365"/>
      <c r="Q53" s="365"/>
      <c r="R53" s="372">
        <f>VLOOKUP(Table2[[#This Row],[Course Title]],'TSD-Data'!$A$1:$E$56,4,FALSE)</f>
        <v>30</v>
      </c>
      <c r="S53" s="372">
        <f>VLOOKUP(Table2[[#This Row],[Course Title]],'TSD-Data'!$A$1:$F$53,6,FALSE)</f>
        <v>16</v>
      </c>
      <c r="T53" s="372">
        <f>VLOOKUP(Table2[[#This Row],[Course Title]],'TSD-Data'!$A$1:$E$56,5,FALSE)</f>
        <v>2</v>
      </c>
      <c r="U53" s="369">
        <v>6</v>
      </c>
      <c r="V53" s="369">
        <f>Table2[[#This Row],[Quotas]]-Table2[[#This Row],[Open Quotas]]</f>
        <v>11</v>
      </c>
      <c r="W53" s="369">
        <v>0</v>
      </c>
      <c r="X53" s="369">
        <v>10</v>
      </c>
      <c r="Y53" s="369">
        <v>0</v>
      </c>
      <c r="Z53" s="369">
        <v>1</v>
      </c>
      <c r="AA53" s="369">
        <v>0</v>
      </c>
      <c r="AB53" s="369">
        <v>0</v>
      </c>
      <c r="AC53" s="369" t="s">
        <v>287</v>
      </c>
      <c r="AD53" s="369">
        <v>-85</v>
      </c>
      <c r="AE53" s="369">
        <v>0</v>
      </c>
      <c r="AF53" s="369">
        <v>0</v>
      </c>
      <c r="AG53" s="369">
        <v>1</v>
      </c>
      <c r="AH53" s="369">
        <v>0</v>
      </c>
      <c r="AI53" s="369">
        <v>16</v>
      </c>
      <c r="AJ53" s="369">
        <v>19</v>
      </c>
      <c r="AK53" s="369">
        <v>1</v>
      </c>
    </row>
    <row r="54" spans="1:37" s="373" customFormat="1" x14ac:dyDescent="0.25">
      <c r="A54" s="365"/>
      <c r="B54" s="365" t="s">
        <v>51</v>
      </c>
      <c r="C54" s="367" t="str">
        <f>VLOOKUP(Table2[[#This Row],[Course Title]],'TSD-Data'!$A$1:$E$56,2,FALSE)</f>
        <v>A-493-0335</v>
      </c>
      <c r="D54" s="367" t="str">
        <f>VLOOKUP(Table2[[#This Row],[Course Title]],'TSD-Data'!$A$1:$E$56,3,FALSE)</f>
        <v>09ND</v>
      </c>
      <c r="E54" s="365" t="s">
        <v>86</v>
      </c>
      <c r="F54" s="368">
        <v>45614</v>
      </c>
      <c r="G54" s="368">
        <v>45617</v>
      </c>
      <c r="H54" s="369"/>
      <c r="I54" s="369">
        <v>1900</v>
      </c>
      <c r="J54" s="376">
        <v>1600</v>
      </c>
      <c r="K54" s="370">
        <v>0.125</v>
      </c>
      <c r="L54" s="381">
        <v>4.1666666666666664E-2</v>
      </c>
      <c r="M54" s="369">
        <v>1400</v>
      </c>
      <c r="N54" s="381">
        <v>0.375</v>
      </c>
      <c r="O54" s="365" t="s">
        <v>274</v>
      </c>
      <c r="P54" s="365" t="s">
        <v>316</v>
      </c>
      <c r="Q54" s="365"/>
      <c r="R54" s="372">
        <f>VLOOKUP(Table2[[#This Row],[Course Title]],'TSD-Data'!$A$1:$E$56,4,FALSE)</f>
        <v>45</v>
      </c>
      <c r="S54" s="372">
        <f>VLOOKUP(Table2[[#This Row],[Course Title]],'TSD-Data'!$A$1:$F$53,6,FALSE)</f>
        <v>32</v>
      </c>
      <c r="T54" s="372">
        <f>VLOOKUP(Table2[[#This Row],[Course Title]],'TSD-Data'!$A$1:$E$56,5,FALSE)</f>
        <v>4</v>
      </c>
      <c r="U54" s="369">
        <v>112</v>
      </c>
      <c r="V54" s="369">
        <f>Table2[[#This Row],[Quotas]]-Table2[[#This Row],[Open Quotas]]</f>
        <v>20</v>
      </c>
      <c r="W54" s="369">
        <v>0</v>
      </c>
      <c r="X54" s="369">
        <v>17</v>
      </c>
      <c r="Y54" s="369">
        <v>0</v>
      </c>
      <c r="Z54" s="369">
        <v>3</v>
      </c>
      <c r="AA54" s="369">
        <v>0</v>
      </c>
      <c r="AB54" s="369">
        <v>0</v>
      </c>
      <c r="AC54" s="369" t="s">
        <v>287</v>
      </c>
      <c r="AD54" s="369">
        <v>-83</v>
      </c>
      <c r="AE54" s="369">
        <v>0</v>
      </c>
      <c r="AF54" s="369">
        <v>0</v>
      </c>
      <c r="AG54" s="369">
        <v>1</v>
      </c>
      <c r="AH54" s="369">
        <v>1</v>
      </c>
      <c r="AI54" s="369">
        <v>16</v>
      </c>
      <c r="AJ54" s="369">
        <v>25</v>
      </c>
      <c r="AK54" s="369">
        <v>1</v>
      </c>
    </row>
    <row r="55" spans="1:37" s="373" customFormat="1" x14ac:dyDescent="0.25">
      <c r="A55" s="365"/>
      <c r="B55" s="366" t="s">
        <v>59</v>
      </c>
      <c r="C55" s="367" t="str">
        <f>VLOOKUP(Table2[[#This Row],[Course Title]],'TSD-Data'!$A$1:$E$56,2,FALSE)</f>
        <v>A-493-0550</v>
      </c>
      <c r="D55" s="367" t="str">
        <f>VLOOKUP(Table2[[#This Row],[Course Title]],'TSD-Data'!$A$1:$E$56,3,FALSE)</f>
        <v>09K5</v>
      </c>
      <c r="E55" s="365" t="s">
        <v>86</v>
      </c>
      <c r="F55" s="368">
        <v>45614</v>
      </c>
      <c r="G55" s="368">
        <v>45617</v>
      </c>
      <c r="H55" s="369"/>
      <c r="I55" s="370">
        <v>0.33333333333333331</v>
      </c>
      <c r="J55" s="379">
        <v>0.20833333333333334</v>
      </c>
      <c r="K55" s="369">
        <v>1600</v>
      </c>
      <c r="L55" s="369">
        <v>1400</v>
      </c>
      <c r="M55" s="370">
        <v>0.125</v>
      </c>
      <c r="N55" s="369">
        <v>2200</v>
      </c>
      <c r="O55" s="365" t="s">
        <v>301</v>
      </c>
      <c r="P55" s="365" t="s">
        <v>303</v>
      </c>
      <c r="Q55" s="365"/>
      <c r="R55" s="372">
        <f>VLOOKUP(Table2[[#This Row],[Course Title]],'TSD-Data'!$A$1:$E$56,4,FALSE)</f>
        <v>45</v>
      </c>
      <c r="S55" s="372">
        <f>VLOOKUP(Table2[[#This Row],[Course Title]],'TSD-Data'!$A$1:$F$53,6,FALSE)</f>
        <v>32</v>
      </c>
      <c r="T55" s="372">
        <f>VLOOKUP(Table2[[#This Row],[Course Title]],'TSD-Data'!$A$1:$E$56,5,FALSE)</f>
        <v>4</v>
      </c>
      <c r="U55" s="369">
        <v>845</v>
      </c>
      <c r="V55" s="369">
        <f>Table2[[#This Row],[Quotas]]-Table2[[#This Row],[Open Quotas]]</f>
        <v>43</v>
      </c>
      <c r="W55" s="369">
        <v>3</v>
      </c>
      <c r="X55" s="369">
        <v>44</v>
      </c>
      <c r="Y55" s="369">
        <v>0</v>
      </c>
      <c r="Z55" s="369">
        <v>4</v>
      </c>
      <c r="AA55" s="369">
        <v>0</v>
      </c>
      <c r="AB55" s="369">
        <v>0</v>
      </c>
      <c r="AC55" s="369" t="s">
        <v>291</v>
      </c>
      <c r="AD55" s="369">
        <v>-83</v>
      </c>
      <c r="AE55" s="369">
        <v>0</v>
      </c>
      <c r="AF55" s="369">
        <v>0</v>
      </c>
      <c r="AG55" s="369">
        <v>1</v>
      </c>
      <c r="AH55" s="369">
        <v>1</v>
      </c>
      <c r="AI55" s="369">
        <v>16</v>
      </c>
      <c r="AJ55" s="369">
        <v>2</v>
      </c>
      <c r="AK55" s="369">
        <v>1</v>
      </c>
    </row>
    <row r="56" spans="1:37" s="373" customFormat="1" x14ac:dyDescent="0.25">
      <c r="A56" s="365"/>
      <c r="B56" s="365" t="s">
        <v>61</v>
      </c>
      <c r="C56" s="367" t="str">
        <f>VLOOKUP(Table2[[#This Row],[Course Title]],'TSD-Data'!$A$1:$E$56,2,FALSE)</f>
        <v>A-493-0078</v>
      </c>
      <c r="D56" s="367">
        <f>VLOOKUP(Table2[[#This Row],[Course Title]],'TSD-Data'!$A$1:$E$56,3,FALSE)</f>
        <v>1228</v>
      </c>
      <c r="E56" s="365" t="s">
        <v>86</v>
      </c>
      <c r="F56" s="368">
        <v>45614</v>
      </c>
      <c r="G56" s="368">
        <v>45617</v>
      </c>
      <c r="H56" s="369"/>
      <c r="I56" s="370">
        <v>0.29166666666666669</v>
      </c>
      <c r="J56" s="370">
        <v>0.16666666666666666</v>
      </c>
      <c r="K56" s="369">
        <v>1500</v>
      </c>
      <c r="L56" s="369">
        <v>1300</v>
      </c>
      <c r="M56" s="371">
        <v>8.3333333333333329E-2</v>
      </c>
      <c r="N56" s="369">
        <v>2100</v>
      </c>
      <c r="O56" s="365" t="s">
        <v>304</v>
      </c>
      <c r="P56" s="365"/>
      <c r="Q56" s="365"/>
      <c r="R56" s="372">
        <f>VLOOKUP(Table2[[#This Row],[Course Title]],'TSD-Data'!$A$1:$E$56,4,FALSE)</f>
        <v>45</v>
      </c>
      <c r="S56" s="372">
        <f>VLOOKUP(Table2[[#This Row],[Course Title]],'TSD-Data'!$A$1:$F$53,6,FALSE)</f>
        <v>32</v>
      </c>
      <c r="T56" s="372">
        <f>VLOOKUP(Table2[[#This Row],[Course Title]],'TSD-Data'!$A$1:$E$56,5,FALSE)</f>
        <v>4</v>
      </c>
      <c r="U56" s="369">
        <v>62</v>
      </c>
      <c r="V56" s="369">
        <f>Table2[[#This Row],[Quotas]]-Table2[[#This Row],[Open Quotas]]</f>
        <v>46</v>
      </c>
      <c r="W56" s="369">
        <v>1</v>
      </c>
      <c r="X56" s="369">
        <v>29</v>
      </c>
      <c r="Y56" s="369">
        <v>0</v>
      </c>
      <c r="Z56" s="369">
        <v>2</v>
      </c>
      <c r="AA56" s="369">
        <v>0</v>
      </c>
      <c r="AB56" s="369">
        <v>0</v>
      </c>
      <c r="AC56" s="369" t="s">
        <v>291</v>
      </c>
      <c r="AD56" s="369">
        <v>-83</v>
      </c>
      <c r="AE56" s="369">
        <v>0</v>
      </c>
      <c r="AF56" s="369">
        <v>0</v>
      </c>
      <c r="AG56" s="369">
        <v>1</v>
      </c>
      <c r="AH56" s="369">
        <v>0</v>
      </c>
      <c r="AI56" s="369">
        <v>32</v>
      </c>
      <c r="AJ56" s="369">
        <v>-1</v>
      </c>
      <c r="AK56" s="369">
        <v>1</v>
      </c>
    </row>
    <row r="57" spans="1:37" s="373" customFormat="1" x14ac:dyDescent="0.25">
      <c r="A57" s="366"/>
      <c r="B57" s="366" t="s">
        <v>52</v>
      </c>
      <c r="C57" s="374" t="str">
        <f>VLOOKUP(Table2[[#This Row],[Course Title]],'TSD-Data'!$A$1:$E$56,2,FALSE)</f>
        <v>A-493-0085</v>
      </c>
      <c r="D57" s="374">
        <f>VLOOKUP(Table2[[#This Row],[Course Title]],'TSD-Data'!$A$1:$E$56,3,FALSE)</f>
        <v>3555</v>
      </c>
      <c r="E57" s="366" t="s">
        <v>86</v>
      </c>
      <c r="F57" s="375">
        <v>45614</v>
      </c>
      <c r="G57" s="375">
        <v>45617</v>
      </c>
      <c r="H57" s="376"/>
      <c r="I57" s="376">
        <v>1200</v>
      </c>
      <c r="J57" s="380">
        <v>0.375</v>
      </c>
      <c r="K57" s="376">
        <v>2000</v>
      </c>
      <c r="L57" s="376">
        <v>1800</v>
      </c>
      <c r="M57" s="377">
        <v>0.29166666666666669</v>
      </c>
      <c r="N57" s="371">
        <v>8.3333333333333329E-2</v>
      </c>
      <c r="O57" s="366" t="s">
        <v>316</v>
      </c>
      <c r="P57" s="366" t="s">
        <v>277</v>
      </c>
      <c r="Q57" s="365"/>
      <c r="R57" s="378">
        <f>VLOOKUP(Table2[[#This Row],[Course Title]],'TSD-Data'!$A$1:$E$56,4,FALSE)</f>
        <v>45</v>
      </c>
      <c r="S57" s="378">
        <f>VLOOKUP(Table2[[#This Row],[Course Title]],'TSD-Data'!$A$1:$F$53,6,FALSE)</f>
        <v>32</v>
      </c>
      <c r="T57" s="378">
        <f>VLOOKUP(Table2[[#This Row],[Course Title]],'TSD-Data'!$A$1:$E$56,5,FALSE)</f>
        <v>4</v>
      </c>
      <c r="U57" s="376">
        <v>503</v>
      </c>
      <c r="V57" s="376">
        <f>Table2[[#This Row],[Quotas]]-Table2[[#This Row],[Open Quotas]]</f>
        <v>19</v>
      </c>
      <c r="W57" s="376">
        <v>0</v>
      </c>
      <c r="X57" s="376">
        <v>26</v>
      </c>
      <c r="Y57" s="376">
        <v>1</v>
      </c>
      <c r="Z57" s="376">
        <v>4</v>
      </c>
      <c r="AA57" s="376">
        <v>0</v>
      </c>
      <c r="AB57" s="376">
        <v>0</v>
      </c>
      <c r="AC57" s="376" t="s">
        <v>281</v>
      </c>
      <c r="AD57" s="376">
        <v>-83</v>
      </c>
      <c r="AE57" s="376">
        <v>0</v>
      </c>
      <c r="AF57" s="376">
        <v>0</v>
      </c>
      <c r="AG57" s="376">
        <v>1</v>
      </c>
      <c r="AH57" s="376">
        <v>1</v>
      </c>
      <c r="AI57" s="376">
        <v>16</v>
      </c>
      <c r="AJ57" s="376">
        <v>26</v>
      </c>
      <c r="AK57" s="376">
        <v>1</v>
      </c>
    </row>
    <row r="58" spans="1:37" s="373" customFormat="1" x14ac:dyDescent="0.25">
      <c r="A58" s="366"/>
      <c r="B58" s="366" t="s">
        <v>39</v>
      </c>
      <c r="C58" s="374" t="str">
        <f>VLOOKUP(Table2[[#This Row],[Course Title]],'TSD-Data'!$A$1:$E$56,2,FALSE)</f>
        <v>A-570-0100</v>
      </c>
      <c r="D58" s="374" t="str">
        <f>VLOOKUP(Table2[[#This Row],[Course Title]],'TSD-Data'!$A$1:$E$56,3,FALSE)</f>
        <v>18B7</v>
      </c>
      <c r="E58" s="366" t="s">
        <v>86</v>
      </c>
      <c r="F58" s="375">
        <v>45614</v>
      </c>
      <c r="G58" s="375">
        <v>45617</v>
      </c>
      <c r="H58" s="376"/>
      <c r="I58" s="377">
        <v>0.33333333333333331</v>
      </c>
      <c r="J58" s="379">
        <v>0.20833333333333334</v>
      </c>
      <c r="K58" s="376">
        <v>1600</v>
      </c>
      <c r="L58" s="376">
        <v>1400</v>
      </c>
      <c r="M58" s="377">
        <v>0.125</v>
      </c>
      <c r="N58" s="376">
        <v>2200</v>
      </c>
      <c r="O58" s="366" t="s">
        <v>272</v>
      </c>
      <c r="P58" s="366"/>
      <c r="Q58" s="365"/>
      <c r="R58" s="378">
        <f>VLOOKUP(Table2[[#This Row],[Course Title]],'TSD-Data'!$A$1:$E$56,4,FALSE)</f>
        <v>45</v>
      </c>
      <c r="S58" s="378">
        <f>VLOOKUP(Table2[[#This Row],[Course Title]],'TSD-Data'!$A$1:$F$53,6,FALSE)</f>
        <v>16</v>
      </c>
      <c r="T58" s="378">
        <f>VLOOKUP(Table2[[#This Row],[Course Title]],'TSD-Data'!$A$1:$E$56,5,FALSE)</f>
        <v>2</v>
      </c>
      <c r="U58" s="376">
        <v>404</v>
      </c>
      <c r="V58" s="376">
        <f>Table2[[#This Row],[Quotas]]-Table2[[#This Row],[Open Quotas]]</f>
        <v>25</v>
      </c>
      <c r="W58" s="376">
        <v>0</v>
      </c>
      <c r="X58" s="376">
        <v>20</v>
      </c>
      <c r="Y58" s="376">
        <v>1</v>
      </c>
      <c r="Z58" s="376">
        <v>8</v>
      </c>
      <c r="AA58" s="376">
        <v>0</v>
      </c>
      <c r="AB58" s="376">
        <v>0</v>
      </c>
      <c r="AC58" s="376" t="s">
        <v>287</v>
      </c>
      <c r="AD58" s="376">
        <v>-83</v>
      </c>
      <c r="AE58" s="376">
        <v>0</v>
      </c>
      <c r="AF58" s="376">
        <v>0</v>
      </c>
      <c r="AG58" s="376">
        <v>1</v>
      </c>
      <c r="AH58" s="376">
        <v>0</v>
      </c>
      <c r="AI58" s="376">
        <v>16</v>
      </c>
      <c r="AJ58" s="376">
        <v>20</v>
      </c>
      <c r="AK58" s="376">
        <v>1</v>
      </c>
    </row>
    <row r="59" spans="1:37" s="373" customFormat="1" x14ac:dyDescent="0.25">
      <c r="A59" s="366"/>
      <c r="B59" s="366" t="s">
        <v>53</v>
      </c>
      <c r="C59" s="374" t="str">
        <f>VLOOKUP(Table2[[#This Row],[Course Title]],'TSD-Data'!$A$1:$E$56,2,FALSE)</f>
        <v>A-493-0072</v>
      </c>
      <c r="D59" s="374" t="str">
        <f>VLOOKUP(Table2[[#This Row],[Course Title]],'TSD-Data'!$A$1:$E$56,3,FALSE)</f>
        <v>713U</v>
      </c>
      <c r="E59" s="366" t="s">
        <v>198</v>
      </c>
      <c r="F59" s="375">
        <v>45614</v>
      </c>
      <c r="G59" s="375">
        <v>45618</v>
      </c>
      <c r="H59" s="377">
        <v>0.33333333333333331</v>
      </c>
      <c r="I59" s="376"/>
      <c r="J59" s="376"/>
      <c r="K59" s="376"/>
      <c r="L59" s="376"/>
      <c r="M59" s="376"/>
      <c r="N59" s="376"/>
      <c r="O59" s="366" t="s">
        <v>315</v>
      </c>
      <c r="P59" s="366" t="s">
        <v>278</v>
      </c>
      <c r="Q59" s="365"/>
      <c r="R59" s="378">
        <f>VLOOKUP(Table2[[#This Row],[Course Title]],'TSD-Data'!$A$1:$E$56,4,FALSE)</f>
        <v>30</v>
      </c>
      <c r="S59" s="378">
        <f>VLOOKUP(Table2[[#This Row],[Course Title]],'TSD-Data'!$A$1:$F$53,6,FALSE)</f>
        <v>40</v>
      </c>
      <c r="T59" s="378">
        <f>VLOOKUP(Table2[[#This Row],[Course Title]],'TSD-Data'!$A$1:$E$56,5,FALSE)</f>
        <v>5</v>
      </c>
      <c r="U59" s="376">
        <v>170</v>
      </c>
      <c r="V59" s="376">
        <f>Table2[[#This Row],[Quotas]]-Table2[[#This Row],[Open Quotas]]</f>
        <v>30</v>
      </c>
      <c r="W59" s="376">
        <v>1</v>
      </c>
      <c r="X59" s="376">
        <v>26</v>
      </c>
      <c r="Y59" s="376">
        <v>0</v>
      </c>
      <c r="Z59" s="376">
        <v>5</v>
      </c>
      <c r="AA59" s="376">
        <v>2</v>
      </c>
      <c r="AB59" s="376">
        <v>0</v>
      </c>
      <c r="AC59" s="376" t="s">
        <v>287</v>
      </c>
      <c r="AD59" s="376">
        <v>-82</v>
      </c>
      <c r="AE59" s="376">
        <v>0</v>
      </c>
      <c r="AF59" s="376">
        <v>0</v>
      </c>
      <c r="AG59" s="376">
        <v>1</v>
      </c>
      <c r="AH59" s="376">
        <v>1</v>
      </c>
      <c r="AI59" s="376">
        <v>20</v>
      </c>
      <c r="AJ59" s="376">
        <v>0</v>
      </c>
      <c r="AK59" s="376">
        <v>1</v>
      </c>
    </row>
    <row r="60" spans="1:37" s="373" customFormat="1" x14ac:dyDescent="0.25">
      <c r="A60" s="366"/>
      <c r="B60" s="366" t="s">
        <v>40</v>
      </c>
      <c r="C60" s="374" t="str">
        <f>VLOOKUP(Table2[[#This Row],[Course Title]],'TSD-Data'!$A$1:$E$56,2,FALSE)</f>
        <v>A-493-2098</v>
      </c>
      <c r="D60" s="374" t="str">
        <f>VLOOKUP(Table2[[#This Row],[Course Title]],'TSD-Data'!$A$1:$E$56,3,FALSE)</f>
        <v>09WW</v>
      </c>
      <c r="E60" s="366" t="s">
        <v>86</v>
      </c>
      <c r="F60" s="375">
        <v>45614</v>
      </c>
      <c r="G60" s="375">
        <v>45618</v>
      </c>
      <c r="H60" s="376"/>
      <c r="I60" s="376">
        <v>1300</v>
      </c>
      <c r="J60" s="376">
        <v>1000</v>
      </c>
      <c r="K60" s="376">
        <v>2100</v>
      </c>
      <c r="L60" s="376">
        <v>1900</v>
      </c>
      <c r="M60" s="377">
        <v>0.33333333333333331</v>
      </c>
      <c r="N60" s="377">
        <v>0.125</v>
      </c>
      <c r="O60" s="366" t="s">
        <v>272</v>
      </c>
      <c r="P60" s="366"/>
      <c r="Q60" s="365"/>
      <c r="R60" s="378">
        <f>VLOOKUP(Table2[[#This Row],[Course Title]],'TSD-Data'!$A$1:$E$56,4,FALSE)</f>
        <v>100</v>
      </c>
      <c r="S60" s="378">
        <f>VLOOKUP(Table2[[#This Row],[Course Title]],'TSD-Data'!$A$1:$F$53,6,FALSE)</f>
        <v>16</v>
      </c>
      <c r="T60" s="378">
        <f>VLOOKUP(Table2[[#This Row],[Course Title]],'TSD-Data'!$A$1:$E$56,5,FALSE)</f>
        <v>2</v>
      </c>
      <c r="U60" s="376">
        <v>1432</v>
      </c>
      <c r="V60" s="376">
        <f>Table2[[#This Row],[Quotas]]-Table2[[#This Row],[Open Quotas]]</f>
        <v>100</v>
      </c>
      <c r="W60" s="376">
        <v>5</v>
      </c>
      <c r="X60" s="376">
        <v>86</v>
      </c>
      <c r="Y60" s="376">
        <v>1</v>
      </c>
      <c r="Z60" s="376">
        <v>18</v>
      </c>
      <c r="AA60" s="376">
        <v>3</v>
      </c>
      <c r="AB60" s="376">
        <v>0</v>
      </c>
      <c r="AC60" s="376" t="s">
        <v>287</v>
      </c>
      <c r="AD60" s="376">
        <v>-82</v>
      </c>
      <c r="AE60" s="376">
        <v>0</v>
      </c>
      <c r="AF60" s="376">
        <v>0</v>
      </c>
      <c r="AG60" s="376">
        <v>1</v>
      </c>
      <c r="AH60" s="376">
        <v>0</v>
      </c>
      <c r="AI60" s="376">
        <v>16</v>
      </c>
      <c r="AJ60" s="376">
        <v>0</v>
      </c>
      <c r="AK60" s="376">
        <v>1</v>
      </c>
    </row>
    <row r="61" spans="1:37" s="373" customFormat="1" x14ac:dyDescent="0.25">
      <c r="A61" s="366"/>
      <c r="B61" s="366" t="s">
        <v>54</v>
      </c>
      <c r="C61" s="374" t="str">
        <f>VLOOKUP(Table2[[#This Row],[Course Title]],'TSD-Data'!$A$1:$E$56,2,FALSE)</f>
        <v>F-4J-0023</v>
      </c>
      <c r="D61" s="374" t="str">
        <f>VLOOKUP(Table2[[#This Row],[Course Title]],'TSD-Data'!$A$1:$E$56,3,FALSE)</f>
        <v>11A2</v>
      </c>
      <c r="E61" s="366" t="s">
        <v>86</v>
      </c>
      <c r="F61" s="375">
        <v>45614</v>
      </c>
      <c r="G61" s="375">
        <v>45618</v>
      </c>
      <c r="H61" s="376"/>
      <c r="I61" s="376">
        <v>1300</v>
      </c>
      <c r="J61" s="376">
        <v>1000</v>
      </c>
      <c r="K61" s="376">
        <v>2100</v>
      </c>
      <c r="L61" s="376">
        <v>1900</v>
      </c>
      <c r="M61" s="377">
        <v>0.33333333333333331</v>
      </c>
      <c r="N61" s="377">
        <v>0.125</v>
      </c>
      <c r="O61" s="366" t="s">
        <v>277</v>
      </c>
      <c r="P61" s="366"/>
      <c r="Q61" s="365"/>
      <c r="R61" s="378">
        <f>VLOOKUP(Table2[[#This Row],[Course Title]],'TSD-Data'!$A$1:$E$56,4,FALSE)</f>
        <v>45</v>
      </c>
      <c r="S61" s="378">
        <f>VLOOKUP(Table2[[#This Row],[Course Title]],'TSD-Data'!$A$1:$F$53,6,FALSE)</f>
        <v>16</v>
      </c>
      <c r="T61" s="378">
        <f>VLOOKUP(Table2[[#This Row],[Course Title]],'TSD-Data'!$A$1:$E$56,5,FALSE)</f>
        <v>2</v>
      </c>
      <c r="U61" s="376">
        <v>70</v>
      </c>
      <c r="V61" s="376">
        <f>Table2[[#This Row],[Quotas]]-Table2[[#This Row],[Open Quotas]]</f>
        <v>16</v>
      </c>
      <c r="W61" s="376">
        <v>0</v>
      </c>
      <c r="X61" s="376">
        <v>16</v>
      </c>
      <c r="Y61" s="376">
        <v>0</v>
      </c>
      <c r="Z61" s="376">
        <v>3</v>
      </c>
      <c r="AA61" s="376">
        <v>0</v>
      </c>
      <c r="AB61" s="376">
        <v>0</v>
      </c>
      <c r="AC61" s="376" t="s">
        <v>287</v>
      </c>
      <c r="AD61" s="376">
        <v>-82</v>
      </c>
      <c r="AE61" s="376">
        <v>0</v>
      </c>
      <c r="AF61" s="376">
        <v>0</v>
      </c>
      <c r="AG61" s="376">
        <v>1</v>
      </c>
      <c r="AH61" s="376">
        <v>0</v>
      </c>
      <c r="AI61" s="376">
        <v>16</v>
      </c>
      <c r="AJ61" s="376">
        <v>29</v>
      </c>
      <c r="AK61" s="376">
        <v>1</v>
      </c>
    </row>
    <row r="62" spans="1:37" s="373" customFormat="1" x14ac:dyDescent="0.25">
      <c r="A62" s="365"/>
      <c r="B62" s="366" t="s">
        <v>57</v>
      </c>
      <c r="C62" s="367" t="str">
        <f>VLOOKUP(Table2[[#This Row],[Course Title]],'TSD-Data'!$A$1:$E$56,2,FALSE)</f>
        <v>A-493-0099</v>
      </c>
      <c r="D62" s="367" t="str">
        <f>VLOOKUP(Table2[[#This Row],[Course Title]],'TSD-Data'!$A$1:$E$56,3,FALSE)</f>
        <v>12JW</v>
      </c>
      <c r="E62" s="366" t="s">
        <v>86</v>
      </c>
      <c r="F62" s="375">
        <v>45615</v>
      </c>
      <c r="G62" s="375">
        <v>45617</v>
      </c>
      <c r="H62" s="369"/>
      <c r="I62" s="370">
        <v>0.33333333333333331</v>
      </c>
      <c r="J62" s="379">
        <v>0.20833333333333334</v>
      </c>
      <c r="K62" s="369">
        <v>1600</v>
      </c>
      <c r="L62" s="369">
        <v>1400</v>
      </c>
      <c r="M62" s="370">
        <v>0.125</v>
      </c>
      <c r="N62" s="369">
        <v>2200</v>
      </c>
      <c r="O62" s="365" t="s">
        <v>305</v>
      </c>
      <c r="P62" s="365"/>
      <c r="Q62" s="365"/>
      <c r="R62" s="372">
        <f>VLOOKUP(Table2[[#This Row],[Course Title]],'TSD-Data'!$A$1:$E$56,4,FALSE)</f>
        <v>45</v>
      </c>
      <c r="S62" s="372">
        <f>VLOOKUP(Table2[[#This Row],[Course Title]],'TSD-Data'!$A$1:$F$53,6,FALSE)</f>
        <v>24</v>
      </c>
      <c r="T62" s="372">
        <f>VLOOKUP(Table2[[#This Row],[Course Title]],'TSD-Data'!$A$1:$E$56,5,FALSE)</f>
        <v>3</v>
      </c>
      <c r="U62" s="369">
        <v>368</v>
      </c>
      <c r="V62" s="369">
        <f>Table2[[#This Row],[Quotas]]-Table2[[#This Row],[Open Quotas]]</f>
        <v>44</v>
      </c>
      <c r="W62" s="369">
        <v>1</v>
      </c>
      <c r="X62" s="369">
        <v>35</v>
      </c>
      <c r="Y62" s="369">
        <v>3</v>
      </c>
      <c r="Z62" s="369">
        <v>11</v>
      </c>
      <c r="AA62" s="369">
        <v>0</v>
      </c>
      <c r="AB62" s="369">
        <v>0</v>
      </c>
      <c r="AC62" s="369" t="s">
        <v>291</v>
      </c>
      <c r="AD62" s="369">
        <v>-83</v>
      </c>
      <c r="AE62" s="369">
        <v>0</v>
      </c>
      <c r="AF62" s="369">
        <v>0</v>
      </c>
      <c r="AG62" s="369">
        <v>1</v>
      </c>
      <c r="AH62" s="369">
        <v>0</v>
      </c>
      <c r="AI62" s="369">
        <v>24</v>
      </c>
      <c r="AJ62" s="369">
        <v>1</v>
      </c>
      <c r="AK62" s="369">
        <v>1</v>
      </c>
    </row>
    <row r="63" spans="1:37" s="373" customFormat="1" x14ac:dyDescent="0.25">
      <c r="A63" s="365"/>
      <c r="B63" s="366" t="s">
        <v>58</v>
      </c>
      <c r="C63" s="367" t="str">
        <f>VLOOKUP(Table2[[#This Row],[Course Title]],'TSD-Data'!$A$1:$E$56,2,FALSE)</f>
        <v xml:space="preserve">A-493-0075 </v>
      </c>
      <c r="D63" s="367" t="str">
        <f>VLOOKUP(Table2[[#This Row],[Course Title]],'TSD-Data'!$A$1:$E$56,3,FALSE)</f>
        <v>714U</v>
      </c>
      <c r="E63" s="365" t="s">
        <v>199</v>
      </c>
      <c r="F63" s="368">
        <v>45615</v>
      </c>
      <c r="G63" s="368">
        <v>45618</v>
      </c>
      <c r="H63" s="370">
        <v>0.33333333333333331</v>
      </c>
      <c r="I63" s="369"/>
      <c r="J63" s="369"/>
      <c r="K63" s="369"/>
      <c r="L63" s="369"/>
      <c r="M63" s="369"/>
      <c r="N63" s="369"/>
      <c r="O63" s="365" t="s">
        <v>314</v>
      </c>
      <c r="P63" s="365"/>
      <c r="Q63" s="365"/>
      <c r="R63" s="372">
        <f>VLOOKUP(Table2[[#This Row],[Course Title]],'TSD-Data'!$A$1:$E$56,4,FALSE)</f>
        <v>30</v>
      </c>
      <c r="S63" s="372">
        <f>VLOOKUP(Table2[[#This Row],[Course Title]],'TSD-Data'!$A$1:$F$53,6,FALSE)</f>
        <v>32</v>
      </c>
      <c r="T63" s="372">
        <f>VLOOKUP(Table2[[#This Row],[Course Title]],'TSD-Data'!$A$1:$E$56,5,FALSE)</f>
        <v>4</v>
      </c>
      <c r="U63" s="369">
        <v>61</v>
      </c>
      <c r="V63" s="369">
        <f>Table2[[#This Row],[Quotas]]-Table2[[#This Row],[Open Quotas]]</f>
        <v>5</v>
      </c>
      <c r="W63" s="369">
        <v>0</v>
      </c>
      <c r="X63" s="369">
        <v>5</v>
      </c>
      <c r="Y63" s="369">
        <v>0</v>
      </c>
      <c r="Z63" s="369">
        <v>2</v>
      </c>
      <c r="AA63" s="369">
        <v>0</v>
      </c>
      <c r="AB63" s="369">
        <v>0</v>
      </c>
      <c r="AC63" s="369" t="s">
        <v>291</v>
      </c>
      <c r="AD63" s="369">
        <v>-82</v>
      </c>
      <c r="AE63" s="369">
        <v>0</v>
      </c>
      <c r="AF63" s="369">
        <v>0</v>
      </c>
      <c r="AG63" s="369">
        <v>1</v>
      </c>
      <c r="AH63" s="369">
        <v>0</v>
      </c>
      <c r="AI63" s="369">
        <v>32</v>
      </c>
      <c r="AJ63" s="369">
        <v>25</v>
      </c>
      <c r="AK63" s="369">
        <v>1</v>
      </c>
    </row>
    <row r="64" spans="1:37" s="373" customFormat="1" x14ac:dyDescent="0.25">
      <c r="A64" s="365"/>
      <c r="B64" s="366" t="s">
        <v>34</v>
      </c>
      <c r="C64" s="367" t="str">
        <f>VLOOKUP(Table2[[#This Row],[Course Title]],'TSD-Data'!$A$1:$E$56,2,FALSE)</f>
        <v>A-493-0216</v>
      </c>
      <c r="D64" s="367" t="str">
        <f>VLOOKUP(Table2[[#This Row],[Course Title]],'TSD-Data'!$A$1:$E$56,3,FALSE)</f>
        <v>12X8</v>
      </c>
      <c r="E64" s="366" t="s">
        <v>171</v>
      </c>
      <c r="F64" s="368">
        <v>45616</v>
      </c>
      <c r="G64" s="368">
        <v>45616</v>
      </c>
      <c r="H64" s="370">
        <v>0.33333333333333331</v>
      </c>
      <c r="I64" s="369"/>
      <c r="J64" s="369"/>
      <c r="K64" s="369"/>
      <c r="L64" s="369"/>
      <c r="M64" s="369"/>
      <c r="N64" s="369"/>
      <c r="O64" s="365" t="s">
        <v>280</v>
      </c>
      <c r="P64" s="365"/>
      <c r="Q64" s="365"/>
      <c r="R64" s="372">
        <f>VLOOKUP(Table2[[#This Row],[Course Title]],'TSD-Data'!$A$1:$E$56,4,FALSE)</f>
        <v>30</v>
      </c>
      <c r="S64" s="372">
        <f>VLOOKUP(Table2[[#This Row],[Course Title]],'TSD-Data'!$A$1:$F$53,6,FALSE)</f>
        <v>8</v>
      </c>
      <c r="T64" s="372">
        <f>VLOOKUP(Table2[[#This Row],[Course Title]],'TSD-Data'!$A$1:$E$56,5,FALSE)</f>
        <v>1</v>
      </c>
      <c r="U64" s="369">
        <v>6</v>
      </c>
      <c r="V64" s="369">
        <f>Table2[[#This Row],[Quotas]]-Table2[[#This Row],[Open Quotas]]</f>
        <v>11</v>
      </c>
      <c r="W64" s="369">
        <v>0</v>
      </c>
      <c r="X64" s="369">
        <v>8</v>
      </c>
      <c r="Y64" s="369">
        <v>0</v>
      </c>
      <c r="Z64" s="369">
        <v>3</v>
      </c>
      <c r="AA64" s="369">
        <v>0</v>
      </c>
      <c r="AB64" s="369">
        <v>0</v>
      </c>
      <c r="AC64" s="369" t="s">
        <v>287</v>
      </c>
      <c r="AD64" s="369">
        <v>-84</v>
      </c>
      <c r="AE64" s="369">
        <v>0</v>
      </c>
      <c r="AF64" s="369">
        <v>0</v>
      </c>
      <c r="AG64" s="369">
        <v>1</v>
      </c>
      <c r="AH64" s="369">
        <v>0</v>
      </c>
      <c r="AI64" s="369">
        <v>8</v>
      </c>
      <c r="AJ64" s="369">
        <v>19</v>
      </c>
      <c r="AK64" s="369">
        <v>1</v>
      </c>
    </row>
    <row r="65" spans="1:37" s="373" customFormat="1" x14ac:dyDescent="0.25">
      <c r="A65" s="365" t="s">
        <v>428</v>
      </c>
      <c r="B65" s="365" t="s">
        <v>361</v>
      </c>
      <c r="C65" s="367" t="str">
        <f>VLOOKUP(Table2[[#This Row],[Course Title]],'TSD-Data'!$A$1:$E$56,2,FALSE)</f>
        <v>Function</v>
      </c>
      <c r="D65" s="367" t="str">
        <f>VLOOKUP(Table2[[#This Row],[Course Title]],'TSD-Data'!$A$1:$E$56,3,FALSE)</f>
        <v>Function</v>
      </c>
      <c r="E65" s="365" t="s">
        <v>198</v>
      </c>
      <c r="F65" s="383">
        <v>45621</v>
      </c>
      <c r="G65" s="383">
        <v>45621</v>
      </c>
      <c r="H65" s="369"/>
      <c r="I65" s="369"/>
      <c r="J65" s="369"/>
      <c r="K65" s="369"/>
      <c r="L65" s="369"/>
      <c r="M65" s="369"/>
      <c r="N65" s="369"/>
      <c r="O65" s="365"/>
      <c r="P65" s="365"/>
      <c r="Q65" s="365"/>
      <c r="R65" s="372">
        <f>VLOOKUP(Table2[[#This Row],[Course Title]],'TSD-Data'!$A$1:$E$56,4,FALSE)</f>
        <v>0</v>
      </c>
      <c r="S65" s="372">
        <f>VLOOKUP(Table2[[#This Row],[Course Title]],'TSD-Data'!$A$1:$F$53,6,FALSE)</f>
        <v>0</v>
      </c>
      <c r="T65" s="372">
        <f>VLOOKUP(Table2[[#This Row],[Course Title]],'TSD-Data'!$A$1:$E$56,5,FALSE)</f>
        <v>0</v>
      </c>
      <c r="U65" s="369">
        <v>0</v>
      </c>
      <c r="V65" s="369">
        <f>Table2[[#This Row],[Quotas]]-Table2[[#This Row],[Open Quotas]]</f>
        <v>0</v>
      </c>
      <c r="W65" s="369">
        <v>0</v>
      </c>
      <c r="X65" s="369">
        <v>0</v>
      </c>
      <c r="Y65" s="369">
        <v>0</v>
      </c>
      <c r="Z65" s="369">
        <v>0</v>
      </c>
      <c r="AA65" s="369">
        <v>0</v>
      </c>
      <c r="AB65" s="369">
        <v>0</v>
      </c>
      <c r="AC65" s="369" t="s">
        <v>285</v>
      </c>
      <c r="AD65" s="369">
        <v>-79</v>
      </c>
      <c r="AE65" s="369">
        <v>0</v>
      </c>
      <c r="AF65" s="369">
        <v>0</v>
      </c>
      <c r="AG65" s="369">
        <v>0</v>
      </c>
      <c r="AH65" s="369">
        <v>0</v>
      </c>
      <c r="AI65" s="369" t="e">
        <v>#DIV/0!</v>
      </c>
      <c r="AJ65" s="369">
        <v>0</v>
      </c>
      <c r="AK65" s="369">
        <v>1</v>
      </c>
    </row>
    <row r="66" spans="1:37" s="373" customFormat="1" x14ac:dyDescent="0.25">
      <c r="A66" s="365" t="s">
        <v>528</v>
      </c>
      <c r="B66" s="365" t="s">
        <v>361</v>
      </c>
      <c r="C66" s="367" t="str">
        <f>VLOOKUP(Table2[[#This Row],[Course Title]],'TSD-Data'!$A$1:$E$56,2,FALSE)</f>
        <v>Function</v>
      </c>
      <c r="D66" s="367" t="str">
        <f>VLOOKUP(Table2[[#This Row],[Course Title]],'TSD-Data'!$A$1:$E$56,3,FALSE)</f>
        <v>Function</v>
      </c>
      <c r="E66" s="365" t="s">
        <v>198</v>
      </c>
      <c r="F66" s="383">
        <v>45622</v>
      </c>
      <c r="G66" s="383">
        <v>45623</v>
      </c>
      <c r="H66" s="369"/>
      <c r="I66" s="369"/>
      <c r="J66" s="376"/>
      <c r="K66" s="369"/>
      <c r="L66" s="369"/>
      <c r="M66" s="369"/>
      <c r="N66" s="369"/>
      <c r="O66" s="365"/>
      <c r="P66" s="365"/>
      <c r="Q66" s="365"/>
      <c r="R66" s="372">
        <f>VLOOKUP(Table2[[#This Row],[Course Title]],'TSD-Data'!$A$1:$E$56,4,FALSE)</f>
        <v>0</v>
      </c>
      <c r="S66" s="372">
        <f>VLOOKUP(Table2[[#This Row],[Course Title]],'TSD-Data'!$A$1:$F$53,6,FALSE)</f>
        <v>0</v>
      </c>
      <c r="T66" s="372">
        <f>VLOOKUP(Table2[[#This Row],[Course Title]],'TSD-Data'!$A$1:$E$56,5,FALSE)</f>
        <v>0</v>
      </c>
      <c r="U66" s="369">
        <v>0</v>
      </c>
      <c r="V66" s="369">
        <f>Table2[[#This Row],[Quotas]]-Table2[[#This Row],[Open Quotas]]</f>
        <v>0</v>
      </c>
      <c r="W66" s="369">
        <v>0</v>
      </c>
      <c r="X66" s="369">
        <v>0</v>
      </c>
      <c r="Y66" s="369">
        <v>0</v>
      </c>
      <c r="Z66" s="369">
        <v>0</v>
      </c>
      <c r="AA66" s="369">
        <v>0</v>
      </c>
      <c r="AB66" s="369">
        <v>0</v>
      </c>
      <c r="AC66" s="369" t="s">
        <v>285</v>
      </c>
      <c r="AD66" s="369">
        <v>-77</v>
      </c>
      <c r="AE66" s="369">
        <v>0</v>
      </c>
      <c r="AF66" s="369">
        <v>0</v>
      </c>
      <c r="AG66" s="369">
        <v>0</v>
      </c>
      <c r="AH66" s="369">
        <v>0</v>
      </c>
      <c r="AI66" s="369" t="e">
        <v>#DIV/0!</v>
      </c>
      <c r="AJ66" s="369">
        <v>0</v>
      </c>
      <c r="AK66" s="369">
        <v>1</v>
      </c>
    </row>
    <row r="67" spans="1:37" s="373" customFormat="1" x14ac:dyDescent="0.25">
      <c r="A67" s="365" t="s">
        <v>437</v>
      </c>
      <c r="B67" s="366" t="s">
        <v>223</v>
      </c>
      <c r="C67" s="367" t="str">
        <f>VLOOKUP(Table2[[#This Row],[Course Title]],'TSD-Data'!$A$1:$E$56,2,FALSE)</f>
        <v>Holiday</v>
      </c>
      <c r="D67" s="367" t="str">
        <f>VLOOKUP(Table2[[#This Row],[Course Title]],'TSD-Data'!$A$1:$E$56,3,FALSE)</f>
        <v>Holiday</v>
      </c>
      <c r="E67" s="366" t="s">
        <v>223</v>
      </c>
      <c r="F67" s="383">
        <v>45624</v>
      </c>
      <c r="G67" s="383">
        <v>45624</v>
      </c>
      <c r="H67" s="369"/>
      <c r="I67" s="369"/>
      <c r="J67" s="369"/>
      <c r="K67" s="369"/>
      <c r="L67" s="369"/>
      <c r="M67" s="369"/>
      <c r="N67" s="369"/>
      <c r="O67" s="365"/>
      <c r="P67" s="365"/>
      <c r="Q67" s="365"/>
      <c r="R67" s="372">
        <f>VLOOKUP(Table2[[#This Row],[Course Title]],'TSD-Data'!$A$1:$E$56,4,FALSE)</f>
        <v>0</v>
      </c>
      <c r="S67" s="372">
        <f>VLOOKUP(Table2[[#This Row],[Course Title]],'TSD-Data'!$A$1:$F$53,6,FALSE)</f>
        <v>0</v>
      </c>
      <c r="T67" s="372">
        <f>VLOOKUP(Table2[[#This Row],[Course Title]],'TSD-Data'!$A$1:$E$56,5,FALSE)</f>
        <v>0</v>
      </c>
      <c r="U67" s="369">
        <v>0</v>
      </c>
      <c r="V67" s="369">
        <f>Table2[[#This Row],[Quotas]]-Table2[[#This Row],[Open Quotas]]</f>
        <v>0</v>
      </c>
      <c r="W67" s="369">
        <v>0</v>
      </c>
      <c r="X67" s="369">
        <v>0</v>
      </c>
      <c r="Y67" s="369">
        <v>0</v>
      </c>
      <c r="Z67" s="369">
        <v>0</v>
      </c>
      <c r="AA67" s="369">
        <v>0</v>
      </c>
      <c r="AB67" s="369">
        <v>0</v>
      </c>
      <c r="AC67" s="369" t="s">
        <v>285</v>
      </c>
      <c r="AD67" s="369">
        <v>-76</v>
      </c>
      <c r="AE67" s="369">
        <v>0</v>
      </c>
      <c r="AF67" s="369">
        <v>0</v>
      </c>
      <c r="AG67" s="369">
        <v>0</v>
      </c>
      <c r="AH67" s="369">
        <v>0</v>
      </c>
      <c r="AI67" s="369" t="e">
        <v>#DIV/0!</v>
      </c>
      <c r="AJ67" s="369">
        <v>0</v>
      </c>
      <c r="AK67" s="369">
        <v>1</v>
      </c>
    </row>
    <row r="68" spans="1:37" s="373" customFormat="1" x14ac:dyDescent="0.25">
      <c r="A68" s="365"/>
      <c r="B68" s="365" t="s">
        <v>55</v>
      </c>
      <c r="C68" s="367" t="str">
        <f>VLOOKUP(Table2[[#This Row],[Course Title]],'TSD-Data'!$A$1:$E$56,2,FALSE)</f>
        <v>A-493-0103</v>
      </c>
      <c r="D68" s="367" t="str">
        <f>VLOOKUP(Table2[[#This Row],[Course Title]],'TSD-Data'!$A$1:$E$56,3,FALSE)</f>
        <v>12JY</v>
      </c>
      <c r="E68" s="365" t="s">
        <v>212</v>
      </c>
      <c r="F68" s="383">
        <v>45628</v>
      </c>
      <c r="G68" s="383">
        <v>45632</v>
      </c>
      <c r="H68" s="370">
        <v>0.33333333333333331</v>
      </c>
      <c r="I68" s="369"/>
      <c r="J68" s="376"/>
      <c r="K68" s="369"/>
      <c r="L68" s="369"/>
      <c r="M68" s="369"/>
      <c r="N68" s="369"/>
      <c r="O68" s="365" t="s">
        <v>314</v>
      </c>
      <c r="P68" s="365"/>
      <c r="Q68" s="365"/>
      <c r="R68" s="372">
        <f>VLOOKUP(Table2[[#This Row],[Course Title]],'TSD-Data'!$A$1:$E$56,4,FALSE)</f>
        <v>25</v>
      </c>
      <c r="S68" s="372">
        <f>VLOOKUP(Table2[[#This Row],[Course Title]],'TSD-Data'!$A$1:$F$53,6,FALSE)</f>
        <v>40</v>
      </c>
      <c r="T68" s="372">
        <f>VLOOKUP(Table2[[#This Row],[Course Title]],'TSD-Data'!$A$1:$E$56,5,FALSE)</f>
        <v>5</v>
      </c>
      <c r="U68" s="369">
        <v>248</v>
      </c>
      <c r="V68" s="369">
        <f>Table2[[#This Row],[Quotas]]-Table2[[#This Row],[Open Quotas]]</f>
        <v>22</v>
      </c>
      <c r="W68" s="369">
        <v>0</v>
      </c>
      <c r="X68" s="369">
        <v>19</v>
      </c>
      <c r="Y68" s="369">
        <v>0</v>
      </c>
      <c r="Z68" s="369">
        <v>5</v>
      </c>
      <c r="AA68" s="369">
        <v>0</v>
      </c>
      <c r="AB68" s="369">
        <v>0</v>
      </c>
      <c r="AC68" s="369" t="s">
        <v>291</v>
      </c>
      <c r="AD68" s="369">
        <v>-68</v>
      </c>
      <c r="AE68" s="369">
        <v>0</v>
      </c>
      <c r="AF68" s="369">
        <v>0</v>
      </c>
      <c r="AG68" s="369">
        <v>1</v>
      </c>
      <c r="AH68" s="369">
        <v>0</v>
      </c>
      <c r="AI68" s="369">
        <v>40</v>
      </c>
      <c r="AJ68" s="369">
        <v>3</v>
      </c>
      <c r="AK68" s="369">
        <v>1</v>
      </c>
    </row>
    <row r="69" spans="1:37" s="373" customFormat="1" x14ac:dyDescent="0.25">
      <c r="A69" s="365"/>
      <c r="B69" s="365" t="s">
        <v>55</v>
      </c>
      <c r="C69" s="367" t="str">
        <f>VLOOKUP(Table2[[#This Row],[Course Title]],'TSD-Data'!$A$1:$E$56,2,FALSE)</f>
        <v>A-493-0103</v>
      </c>
      <c r="D69" s="367" t="str">
        <f>VLOOKUP(Table2[[#This Row],[Course Title]],'TSD-Data'!$A$1:$E$56,3,FALSE)</f>
        <v>12JY</v>
      </c>
      <c r="E69" s="365" t="s">
        <v>199</v>
      </c>
      <c r="F69" s="375">
        <v>45628</v>
      </c>
      <c r="G69" s="375">
        <v>45632</v>
      </c>
      <c r="H69" s="370">
        <v>0.33333333333333331</v>
      </c>
      <c r="I69" s="369"/>
      <c r="J69" s="376"/>
      <c r="K69" s="369"/>
      <c r="L69" s="369"/>
      <c r="M69" s="369"/>
      <c r="N69" s="369"/>
      <c r="O69" s="365" t="s">
        <v>314</v>
      </c>
      <c r="P69" s="365"/>
      <c r="Q69" s="365"/>
      <c r="R69" s="372">
        <f>VLOOKUP(Table2[[#This Row],[Course Title]],'TSD-Data'!$A$1:$E$56,4,FALSE)</f>
        <v>25</v>
      </c>
      <c r="S69" s="372">
        <f>VLOOKUP(Table2[[#This Row],[Course Title]],'TSD-Data'!$A$1:$F$53,6,FALSE)</f>
        <v>40</v>
      </c>
      <c r="T69" s="372">
        <f>VLOOKUP(Table2[[#This Row],[Course Title]],'TSD-Data'!$A$1:$E$56,5,FALSE)</f>
        <v>5</v>
      </c>
      <c r="U69" s="369">
        <v>332</v>
      </c>
      <c r="V69" s="369">
        <f>Table2[[#This Row],[Quotas]]-Table2[[#This Row],[Open Quotas]]</f>
        <v>22</v>
      </c>
      <c r="W69" s="369">
        <v>0</v>
      </c>
      <c r="X69" s="369">
        <v>21</v>
      </c>
      <c r="Y69" s="369">
        <v>0</v>
      </c>
      <c r="Z69" s="369">
        <v>3</v>
      </c>
      <c r="AA69" s="369">
        <v>0</v>
      </c>
      <c r="AB69" s="369">
        <v>0</v>
      </c>
      <c r="AC69" s="369" t="s">
        <v>291</v>
      </c>
      <c r="AD69" s="369">
        <v>-68</v>
      </c>
      <c r="AE69" s="369">
        <v>0</v>
      </c>
      <c r="AF69" s="369">
        <v>0</v>
      </c>
      <c r="AG69" s="369">
        <v>1</v>
      </c>
      <c r="AH69" s="369">
        <v>0</v>
      </c>
      <c r="AI69" s="369">
        <v>40</v>
      </c>
      <c r="AJ69" s="369">
        <v>3</v>
      </c>
      <c r="AK69" s="369">
        <v>1</v>
      </c>
    </row>
    <row r="70" spans="1:37" s="373" customFormat="1" x14ac:dyDescent="0.25">
      <c r="A70" s="365"/>
      <c r="B70" s="366" t="s">
        <v>38</v>
      </c>
      <c r="C70" s="367" t="str">
        <f>VLOOKUP(Table2[[#This Row],[Course Title]],'TSD-Data'!$A$1:$E$56,2,FALSE)</f>
        <v>A-493-0061</v>
      </c>
      <c r="D70" s="367" t="str">
        <f>VLOOKUP(Table2[[#This Row],[Course Title]],'TSD-Data'!$A$1:$E$56,3,FALSE)</f>
        <v>288E</v>
      </c>
      <c r="E70" s="365" t="s">
        <v>86</v>
      </c>
      <c r="F70" s="383">
        <v>45628</v>
      </c>
      <c r="G70" s="383">
        <v>45631</v>
      </c>
      <c r="H70" s="369"/>
      <c r="I70" s="370">
        <v>0.29166666666666669</v>
      </c>
      <c r="J70" s="370">
        <v>0.16666666666666666</v>
      </c>
      <c r="K70" s="369">
        <v>1500</v>
      </c>
      <c r="L70" s="369">
        <v>1300</v>
      </c>
      <c r="M70" s="370">
        <v>8.3333333333333329E-2</v>
      </c>
      <c r="N70" s="369">
        <v>2100</v>
      </c>
      <c r="O70" s="365" t="s">
        <v>303</v>
      </c>
      <c r="P70" s="365"/>
      <c r="Q70" s="365"/>
      <c r="R70" s="372">
        <f>VLOOKUP(Table2[[#This Row],[Course Title]],'TSD-Data'!$A$1:$E$56,4,FALSE)</f>
        <v>45</v>
      </c>
      <c r="S70" s="372">
        <f>VLOOKUP(Table2[[#This Row],[Course Title]],'TSD-Data'!$A$1:$F$53,6,FALSE)</f>
        <v>30</v>
      </c>
      <c r="T70" s="372">
        <f>VLOOKUP(Table2[[#This Row],[Course Title]],'TSD-Data'!$A$1:$E$56,5,FALSE)</f>
        <v>4</v>
      </c>
      <c r="U70" s="369">
        <v>59</v>
      </c>
      <c r="V70" s="369">
        <f>Table2[[#This Row],[Quotas]]-Table2[[#This Row],[Open Quotas]]</f>
        <v>39</v>
      </c>
      <c r="W70" s="369">
        <v>0</v>
      </c>
      <c r="X70" s="369">
        <v>33</v>
      </c>
      <c r="Y70" s="369">
        <v>0</v>
      </c>
      <c r="Z70" s="369">
        <v>7</v>
      </c>
      <c r="AA70" s="369">
        <v>0</v>
      </c>
      <c r="AB70" s="369">
        <v>0</v>
      </c>
      <c r="AC70" s="369" t="s">
        <v>291</v>
      </c>
      <c r="AD70" s="369">
        <v>-69</v>
      </c>
      <c r="AE70" s="369">
        <v>0</v>
      </c>
      <c r="AF70" s="369">
        <v>0</v>
      </c>
      <c r="AG70" s="369">
        <v>1</v>
      </c>
      <c r="AH70" s="369">
        <v>0</v>
      </c>
      <c r="AI70" s="369">
        <v>30</v>
      </c>
      <c r="AJ70" s="369">
        <v>6</v>
      </c>
      <c r="AK70" s="369">
        <v>1</v>
      </c>
    </row>
    <row r="71" spans="1:37" s="373" customFormat="1" x14ac:dyDescent="0.25">
      <c r="A71" s="365"/>
      <c r="B71" s="366" t="s">
        <v>120</v>
      </c>
      <c r="C71" s="367" t="str">
        <f>VLOOKUP(Table2[[#This Row],[Course Title]],'TSD-Data'!$A$1:$E$56,2,FALSE)</f>
        <v>A-322-2604</v>
      </c>
      <c r="D71" s="367" t="str">
        <f>VLOOKUP(Table2[[#This Row],[Course Title]],'TSD-Data'!$A$1:$E$56,3,FALSE)</f>
        <v>10ZZ</v>
      </c>
      <c r="E71" s="365" t="s">
        <v>86</v>
      </c>
      <c r="F71" s="383">
        <v>45628</v>
      </c>
      <c r="G71" s="383">
        <v>45632</v>
      </c>
      <c r="H71" s="369"/>
      <c r="I71" s="369">
        <v>1300</v>
      </c>
      <c r="J71" s="369">
        <v>1000</v>
      </c>
      <c r="K71" s="369">
        <v>2100</v>
      </c>
      <c r="L71" s="369">
        <v>1900</v>
      </c>
      <c r="M71" s="370">
        <v>0.33333333333333331</v>
      </c>
      <c r="N71" s="370">
        <v>0.125</v>
      </c>
      <c r="O71" s="365" t="s">
        <v>288</v>
      </c>
      <c r="P71" s="365"/>
      <c r="Q71" s="365"/>
      <c r="R71" s="372">
        <f>VLOOKUP(Table2[[#This Row],[Course Title]],'TSD-Data'!$A$1:$E$56,4,FALSE)</f>
        <v>45</v>
      </c>
      <c r="S71" s="372">
        <f>VLOOKUP(Table2[[#This Row],[Course Title]],'TSD-Data'!$A$1:$F$53,6,FALSE)</f>
        <v>24</v>
      </c>
      <c r="T71" s="372">
        <f>VLOOKUP(Table2[[#This Row],[Course Title]],'TSD-Data'!$A$1:$E$56,5,FALSE)</f>
        <v>3</v>
      </c>
      <c r="U71" s="369">
        <v>634</v>
      </c>
      <c r="V71" s="369">
        <f>Table2[[#This Row],[Quotas]]-Table2[[#This Row],[Open Quotas]]</f>
        <v>40</v>
      </c>
      <c r="W71" s="369">
        <v>3</v>
      </c>
      <c r="X71" s="369">
        <v>29</v>
      </c>
      <c r="Y71" s="369">
        <v>1</v>
      </c>
      <c r="Z71" s="369">
        <v>5</v>
      </c>
      <c r="AA71" s="369">
        <v>0</v>
      </c>
      <c r="AB71" s="369">
        <v>0</v>
      </c>
      <c r="AC71" s="369" t="s">
        <v>281</v>
      </c>
      <c r="AD71" s="369">
        <v>-68</v>
      </c>
      <c r="AE71" s="369">
        <v>0</v>
      </c>
      <c r="AF71" s="369">
        <v>0</v>
      </c>
      <c r="AG71" s="369">
        <v>1</v>
      </c>
      <c r="AH71" s="369">
        <v>0</v>
      </c>
      <c r="AI71" s="369">
        <v>24</v>
      </c>
      <c r="AJ71" s="369">
        <v>5</v>
      </c>
      <c r="AK71" s="369">
        <v>1</v>
      </c>
    </row>
    <row r="72" spans="1:37" s="373" customFormat="1" x14ac:dyDescent="0.25">
      <c r="A72" s="365"/>
      <c r="B72" s="366" t="s">
        <v>59</v>
      </c>
      <c r="C72" s="367" t="str">
        <f>VLOOKUP(Table2[[#This Row],[Course Title]],'TSD-Data'!$A$1:$E$56,2,FALSE)</f>
        <v>A-493-0550</v>
      </c>
      <c r="D72" s="367" t="str">
        <f>VLOOKUP(Table2[[#This Row],[Course Title]],'TSD-Data'!$A$1:$E$56,3,FALSE)</f>
        <v>09K5</v>
      </c>
      <c r="E72" s="365" t="s">
        <v>86</v>
      </c>
      <c r="F72" s="383">
        <v>45628</v>
      </c>
      <c r="G72" s="383">
        <v>45631</v>
      </c>
      <c r="H72" s="369"/>
      <c r="I72" s="370">
        <v>0.33333333333333331</v>
      </c>
      <c r="J72" s="379">
        <v>0.20833333333333334</v>
      </c>
      <c r="K72" s="369">
        <v>1600</v>
      </c>
      <c r="L72" s="369">
        <v>1400</v>
      </c>
      <c r="M72" s="370">
        <v>0.125</v>
      </c>
      <c r="N72" s="369">
        <v>2200</v>
      </c>
      <c r="O72" s="365" t="s">
        <v>301</v>
      </c>
      <c r="P72" s="365" t="s">
        <v>304</v>
      </c>
      <c r="Q72" s="365"/>
      <c r="R72" s="372">
        <f>VLOOKUP(Table2[[#This Row],[Course Title]],'TSD-Data'!$A$1:$E$56,4,FALSE)</f>
        <v>45</v>
      </c>
      <c r="S72" s="372">
        <f>VLOOKUP(Table2[[#This Row],[Course Title]],'TSD-Data'!$A$1:$F$53,6,FALSE)</f>
        <v>32</v>
      </c>
      <c r="T72" s="372">
        <f>VLOOKUP(Table2[[#This Row],[Course Title]],'TSD-Data'!$A$1:$E$56,5,FALSE)</f>
        <v>4</v>
      </c>
      <c r="U72" s="369">
        <v>845</v>
      </c>
      <c r="V72" s="369">
        <f>Table2[[#This Row],[Quotas]]-Table2[[#This Row],[Open Quotas]]</f>
        <v>45</v>
      </c>
      <c r="W72" s="369">
        <v>5</v>
      </c>
      <c r="X72" s="369">
        <v>40</v>
      </c>
      <c r="Y72" s="369">
        <v>0</v>
      </c>
      <c r="Z72" s="369">
        <v>10</v>
      </c>
      <c r="AA72" s="369">
        <v>0</v>
      </c>
      <c r="AB72" s="369">
        <v>0</v>
      </c>
      <c r="AC72" s="369" t="s">
        <v>291</v>
      </c>
      <c r="AD72" s="369">
        <v>-69</v>
      </c>
      <c r="AE72" s="369">
        <v>0</v>
      </c>
      <c r="AF72" s="369">
        <v>0</v>
      </c>
      <c r="AG72" s="369">
        <v>1</v>
      </c>
      <c r="AH72" s="369">
        <v>1</v>
      </c>
      <c r="AI72" s="369">
        <v>16</v>
      </c>
      <c r="AJ72" s="369">
        <v>0</v>
      </c>
      <c r="AK72" s="369">
        <v>1</v>
      </c>
    </row>
    <row r="73" spans="1:37" s="373" customFormat="1" x14ac:dyDescent="0.25">
      <c r="A73" s="366"/>
      <c r="B73" s="366" t="s">
        <v>39</v>
      </c>
      <c r="C73" s="374" t="str">
        <f>VLOOKUP(Table2[[#This Row],[Course Title]],'TSD-Data'!$A$1:$E$56,2,FALSE)</f>
        <v>A-570-0100</v>
      </c>
      <c r="D73" s="374" t="str">
        <f>VLOOKUP(Table2[[#This Row],[Course Title]],'TSD-Data'!$A$1:$E$56,3,FALSE)</f>
        <v>18B7</v>
      </c>
      <c r="E73" s="366" t="s">
        <v>86</v>
      </c>
      <c r="F73" s="383">
        <v>45628</v>
      </c>
      <c r="G73" s="383">
        <v>45631</v>
      </c>
      <c r="H73" s="376"/>
      <c r="I73" s="376">
        <v>1300</v>
      </c>
      <c r="J73" s="376">
        <v>1000</v>
      </c>
      <c r="K73" s="376">
        <v>2100</v>
      </c>
      <c r="L73" s="376">
        <v>1900</v>
      </c>
      <c r="M73" s="377">
        <v>0.33333333333333331</v>
      </c>
      <c r="N73" s="377">
        <v>0.125</v>
      </c>
      <c r="O73" s="366" t="s">
        <v>272</v>
      </c>
      <c r="P73" s="366"/>
      <c r="Q73" s="365"/>
      <c r="R73" s="378">
        <f>VLOOKUP(Table2[[#This Row],[Course Title]],'TSD-Data'!$A$1:$E$56,4,FALSE)</f>
        <v>45</v>
      </c>
      <c r="S73" s="378">
        <f>VLOOKUP(Table2[[#This Row],[Course Title]],'TSD-Data'!$A$1:$F$53,6,FALSE)</f>
        <v>16</v>
      </c>
      <c r="T73" s="378">
        <f>VLOOKUP(Table2[[#This Row],[Course Title]],'TSD-Data'!$A$1:$E$56,5,FALSE)</f>
        <v>2</v>
      </c>
      <c r="U73" s="376">
        <v>621</v>
      </c>
      <c r="V73" s="376">
        <f>Table2[[#This Row],[Quotas]]-Table2[[#This Row],[Open Quotas]]</f>
        <v>27</v>
      </c>
      <c r="W73" s="376">
        <v>0</v>
      </c>
      <c r="X73" s="376">
        <v>22</v>
      </c>
      <c r="Y73" s="376">
        <v>0</v>
      </c>
      <c r="Z73" s="376">
        <v>5</v>
      </c>
      <c r="AA73" s="376">
        <v>0</v>
      </c>
      <c r="AB73" s="376">
        <v>0</v>
      </c>
      <c r="AC73" s="376" t="s">
        <v>287</v>
      </c>
      <c r="AD73" s="376">
        <v>-69</v>
      </c>
      <c r="AE73" s="376">
        <v>0</v>
      </c>
      <c r="AF73" s="376">
        <v>0</v>
      </c>
      <c r="AG73" s="376">
        <v>1</v>
      </c>
      <c r="AH73" s="376">
        <v>0</v>
      </c>
      <c r="AI73" s="376">
        <v>16</v>
      </c>
      <c r="AJ73" s="376">
        <v>18</v>
      </c>
      <c r="AK73" s="376">
        <v>1</v>
      </c>
    </row>
    <row r="74" spans="1:37" s="373" customFormat="1" x14ac:dyDescent="0.25">
      <c r="A74" s="366"/>
      <c r="B74" s="366" t="s">
        <v>53</v>
      </c>
      <c r="C74" s="374" t="str">
        <f>VLOOKUP(Table2[[#This Row],[Course Title]],'TSD-Data'!$A$1:$E$56,2,FALSE)</f>
        <v>A-493-0072</v>
      </c>
      <c r="D74" s="374" t="str">
        <f>VLOOKUP(Table2[[#This Row],[Course Title]],'TSD-Data'!$A$1:$E$56,3,FALSE)</f>
        <v>713U</v>
      </c>
      <c r="E74" s="366" t="s">
        <v>179</v>
      </c>
      <c r="F74" s="383">
        <v>45628</v>
      </c>
      <c r="G74" s="383">
        <v>45632</v>
      </c>
      <c r="H74" s="377">
        <v>0.33333333333333331</v>
      </c>
      <c r="I74" s="376"/>
      <c r="J74" s="376"/>
      <c r="K74" s="376"/>
      <c r="L74" s="376"/>
      <c r="M74" s="376"/>
      <c r="N74" s="376"/>
      <c r="O74" s="366" t="s">
        <v>315</v>
      </c>
      <c r="P74" s="366" t="s">
        <v>274</v>
      </c>
      <c r="Q74" s="365"/>
      <c r="R74" s="378">
        <f>VLOOKUP(Table2[[#This Row],[Course Title]],'TSD-Data'!$A$1:$E$56,4,FALSE)</f>
        <v>30</v>
      </c>
      <c r="S74" s="378">
        <f>VLOOKUP(Table2[[#This Row],[Course Title]],'TSD-Data'!$A$1:$F$53,6,FALSE)</f>
        <v>40</v>
      </c>
      <c r="T74" s="378">
        <f>VLOOKUP(Table2[[#This Row],[Course Title]],'TSD-Data'!$A$1:$E$56,5,FALSE)</f>
        <v>5</v>
      </c>
      <c r="U74" s="376">
        <v>32</v>
      </c>
      <c r="V74" s="376">
        <f>Table2[[#This Row],[Quotas]]-Table2[[#This Row],[Open Quotas]]</f>
        <v>19</v>
      </c>
      <c r="W74" s="376">
        <v>0</v>
      </c>
      <c r="X74" s="376">
        <v>30</v>
      </c>
      <c r="Y74" s="376">
        <v>0</v>
      </c>
      <c r="Z74" s="376">
        <v>1</v>
      </c>
      <c r="AA74" s="376">
        <v>2</v>
      </c>
      <c r="AB74" s="376">
        <v>0</v>
      </c>
      <c r="AC74" s="376" t="s">
        <v>281</v>
      </c>
      <c r="AD74" s="376">
        <v>-68</v>
      </c>
      <c r="AE74" s="376">
        <v>0</v>
      </c>
      <c r="AF74" s="376">
        <v>0</v>
      </c>
      <c r="AG74" s="376">
        <v>1</v>
      </c>
      <c r="AH74" s="376">
        <v>1</v>
      </c>
      <c r="AI74" s="376">
        <v>20</v>
      </c>
      <c r="AJ74" s="376">
        <v>11</v>
      </c>
      <c r="AK74" s="376">
        <v>1</v>
      </c>
    </row>
    <row r="75" spans="1:37" s="373" customFormat="1" x14ac:dyDescent="0.25">
      <c r="A75" s="365"/>
      <c r="B75" s="366" t="s">
        <v>57</v>
      </c>
      <c r="C75" s="367" t="str">
        <f>VLOOKUP(Table2[[#This Row],[Course Title]],'TSD-Data'!$A$1:$E$56,2,FALSE)</f>
        <v>A-493-0099</v>
      </c>
      <c r="D75" s="367" t="str">
        <f>VLOOKUP(Table2[[#This Row],[Course Title]],'TSD-Data'!$A$1:$E$56,3,FALSE)</f>
        <v>12JW</v>
      </c>
      <c r="E75" s="366" t="s">
        <v>86</v>
      </c>
      <c r="F75" s="383">
        <v>45629</v>
      </c>
      <c r="G75" s="383">
        <v>45631</v>
      </c>
      <c r="H75" s="369"/>
      <c r="I75" s="370">
        <v>0.33333333333333331</v>
      </c>
      <c r="J75" s="379">
        <v>0.20833333333333334</v>
      </c>
      <c r="K75" s="369">
        <v>1600</v>
      </c>
      <c r="L75" s="369">
        <v>1400</v>
      </c>
      <c r="M75" s="370">
        <v>0.125</v>
      </c>
      <c r="N75" s="369">
        <v>2200</v>
      </c>
      <c r="O75" s="365" t="s">
        <v>305</v>
      </c>
      <c r="P75" s="365"/>
      <c r="Q75" s="365"/>
      <c r="R75" s="372">
        <f>VLOOKUP(Table2[[#This Row],[Course Title]],'TSD-Data'!$A$1:$E$56,4,FALSE)</f>
        <v>45</v>
      </c>
      <c r="S75" s="372">
        <f>VLOOKUP(Table2[[#This Row],[Course Title]],'TSD-Data'!$A$1:$F$53,6,FALSE)</f>
        <v>24</v>
      </c>
      <c r="T75" s="372">
        <f>VLOOKUP(Table2[[#This Row],[Course Title]],'TSD-Data'!$A$1:$E$56,5,FALSE)</f>
        <v>3</v>
      </c>
      <c r="U75" s="369">
        <v>368</v>
      </c>
      <c r="V75" s="369">
        <f>Table2[[#This Row],[Quotas]]-Table2[[#This Row],[Open Quotas]]</f>
        <v>45</v>
      </c>
      <c r="W75" s="369">
        <v>4</v>
      </c>
      <c r="X75" s="369">
        <v>33</v>
      </c>
      <c r="Y75" s="369">
        <v>0</v>
      </c>
      <c r="Z75" s="369">
        <v>17</v>
      </c>
      <c r="AA75" s="369">
        <v>4</v>
      </c>
      <c r="AB75" s="369">
        <v>0</v>
      </c>
      <c r="AC75" s="369" t="s">
        <v>291</v>
      </c>
      <c r="AD75" s="369">
        <v>-69</v>
      </c>
      <c r="AE75" s="369">
        <v>0</v>
      </c>
      <c r="AF75" s="369">
        <v>0</v>
      </c>
      <c r="AG75" s="369">
        <v>1</v>
      </c>
      <c r="AH75" s="369">
        <v>0</v>
      </c>
      <c r="AI75" s="369">
        <v>24</v>
      </c>
      <c r="AJ75" s="369">
        <v>0</v>
      </c>
      <c r="AK75" s="369">
        <v>1</v>
      </c>
    </row>
    <row r="76" spans="1:37" s="373" customFormat="1" x14ac:dyDescent="0.25">
      <c r="A76" s="365"/>
      <c r="B76" s="365" t="s">
        <v>15</v>
      </c>
      <c r="C76" s="367" t="str">
        <f>VLOOKUP(Table2[[#This Row],[Course Title]],'TSD-Data'!$A$1:$E$56,2,FALSE)</f>
        <v>A-4J-0022</v>
      </c>
      <c r="D76" s="367" t="str">
        <f>VLOOKUP(Table2[[#This Row],[Course Title]],'TSD-Data'!$A$1:$E$56,3,FALSE)</f>
        <v>09ER</v>
      </c>
      <c r="E76" s="365" t="s">
        <v>86</v>
      </c>
      <c r="F76" s="383">
        <v>45635</v>
      </c>
      <c r="G76" s="383">
        <v>45639</v>
      </c>
      <c r="H76" s="369"/>
      <c r="I76" s="370">
        <v>0.33333333333333331</v>
      </c>
      <c r="J76" s="379">
        <v>0.20833333333333334</v>
      </c>
      <c r="K76" s="369">
        <v>1600</v>
      </c>
      <c r="L76" s="369">
        <v>1400</v>
      </c>
      <c r="M76" s="370">
        <v>0.125</v>
      </c>
      <c r="N76" s="376">
        <v>2200</v>
      </c>
      <c r="O76" s="365" t="s">
        <v>278</v>
      </c>
      <c r="P76" s="365"/>
      <c r="Q76" s="365"/>
      <c r="R76" s="372">
        <f>VLOOKUP(Table2[[#This Row],[Course Title]],'TSD-Data'!$A$1:$E$56,4,FALSE)</f>
        <v>45</v>
      </c>
      <c r="S76" s="372">
        <f>VLOOKUP(Table2[[#This Row],[Course Title]],'TSD-Data'!$A$1:$F$53,6,FALSE)</f>
        <v>16</v>
      </c>
      <c r="T76" s="372">
        <f>VLOOKUP(Table2[[#This Row],[Course Title]],'TSD-Data'!$A$1:$E$56,5,FALSE)</f>
        <v>2</v>
      </c>
      <c r="U76" s="369">
        <v>85</v>
      </c>
      <c r="V76" s="369">
        <f>Table2[[#This Row],[Quotas]]-Table2[[#This Row],[Open Quotas]]</f>
        <v>23</v>
      </c>
      <c r="W76" s="369">
        <v>0</v>
      </c>
      <c r="X76" s="369">
        <v>23</v>
      </c>
      <c r="Y76" s="369">
        <v>0</v>
      </c>
      <c r="Z76" s="369">
        <v>1</v>
      </c>
      <c r="AA76" s="369">
        <v>1</v>
      </c>
      <c r="AB76" s="369">
        <v>0</v>
      </c>
      <c r="AC76" s="369" t="s">
        <v>287</v>
      </c>
      <c r="AD76" s="369">
        <v>-61</v>
      </c>
      <c r="AE76" s="369">
        <v>0</v>
      </c>
      <c r="AF76" s="369">
        <v>0</v>
      </c>
      <c r="AG76" s="369">
        <v>1</v>
      </c>
      <c r="AH76" s="369">
        <v>0</v>
      </c>
      <c r="AI76" s="369">
        <v>16</v>
      </c>
      <c r="AJ76" s="369">
        <v>22</v>
      </c>
      <c r="AK76" s="369">
        <v>1</v>
      </c>
    </row>
    <row r="77" spans="1:37" s="373" customFormat="1" x14ac:dyDescent="0.25">
      <c r="A77" s="365"/>
      <c r="B77" s="365" t="s">
        <v>37</v>
      </c>
      <c r="C77" s="367" t="str">
        <f>VLOOKUP(Table2[[#This Row],[Course Title]],'TSD-Data'!$A$1:$E$56,2,FALSE)</f>
        <v>A-493-0665</v>
      </c>
      <c r="D77" s="367" t="str">
        <f>VLOOKUP(Table2[[#This Row],[Course Title]],'TSD-Data'!$A$1:$E$56,3,FALSE)</f>
        <v>10KW</v>
      </c>
      <c r="E77" s="365" t="s">
        <v>86</v>
      </c>
      <c r="F77" s="383">
        <v>45635</v>
      </c>
      <c r="G77" s="383">
        <v>45639</v>
      </c>
      <c r="H77" s="369"/>
      <c r="I77" s="370">
        <v>0.33333333333333331</v>
      </c>
      <c r="J77" s="379">
        <v>0.20833333333333334</v>
      </c>
      <c r="K77" s="369">
        <v>1600</v>
      </c>
      <c r="L77" s="369">
        <v>1400</v>
      </c>
      <c r="M77" s="370">
        <v>0.125</v>
      </c>
      <c r="N77" s="369">
        <v>2200</v>
      </c>
      <c r="O77" s="365" t="s">
        <v>282</v>
      </c>
      <c r="P77" s="365"/>
      <c r="Q77" s="365"/>
      <c r="R77" s="372">
        <f>VLOOKUP(Table2[[#This Row],[Course Title]],'TSD-Data'!$A$1:$E$56,4,FALSE)</f>
        <v>45</v>
      </c>
      <c r="S77" s="372">
        <f>VLOOKUP(Table2[[#This Row],[Course Title]],'TSD-Data'!$A$1:$F$53,6,FALSE)</f>
        <v>24</v>
      </c>
      <c r="T77" s="372">
        <f>VLOOKUP(Table2[[#This Row],[Course Title]],'TSD-Data'!$A$1:$E$56,5,FALSE)</f>
        <v>3</v>
      </c>
      <c r="U77" s="369">
        <v>172</v>
      </c>
      <c r="V77" s="369">
        <f>Table2[[#This Row],[Quotas]]-Table2[[#This Row],[Open Quotas]]</f>
        <v>39</v>
      </c>
      <c r="W77" s="369">
        <v>0</v>
      </c>
      <c r="X77" s="369">
        <v>31</v>
      </c>
      <c r="Y77" s="369">
        <v>0</v>
      </c>
      <c r="Z77" s="369">
        <v>1</v>
      </c>
      <c r="AA77" s="369">
        <v>0</v>
      </c>
      <c r="AB77" s="369">
        <v>0</v>
      </c>
      <c r="AC77" s="369" t="s">
        <v>287</v>
      </c>
      <c r="AD77" s="369">
        <v>-61</v>
      </c>
      <c r="AE77" s="369">
        <v>0</v>
      </c>
      <c r="AF77" s="369">
        <v>0</v>
      </c>
      <c r="AG77" s="369">
        <v>1</v>
      </c>
      <c r="AH77" s="369">
        <v>0</v>
      </c>
      <c r="AI77" s="369">
        <v>24</v>
      </c>
      <c r="AJ77" s="369">
        <v>6</v>
      </c>
      <c r="AK77" s="369">
        <v>1</v>
      </c>
    </row>
    <row r="78" spans="1:37" s="373" customFormat="1" x14ac:dyDescent="0.25">
      <c r="A78" s="365" t="s">
        <v>529</v>
      </c>
      <c r="B78" s="365" t="s">
        <v>358</v>
      </c>
      <c r="C78" s="367" t="str">
        <f>VLOOKUP(Table2[[#This Row],[Course Title]],'TSD-Data'!$A$1:$E$56,2,FALSE)</f>
        <v>Reserved</v>
      </c>
      <c r="D78" s="367" t="str">
        <f>VLOOKUP(Table2[[#This Row],[Course Title]],'TSD-Data'!$A$1:$E$56,3,FALSE)</f>
        <v xml:space="preserve">Reserved </v>
      </c>
      <c r="E78" s="365" t="s">
        <v>198</v>
      </c>
      <c r="F78" s="368">
        <v>45635</v>
      </c>
      <c r="G78" s="368">
        <v>45639</v>
      </c>
      <c r="H78" s="369"/>
      <c r="I78" s="369"/>
      <c r="J78" s="376"/>
      <c r="K78" s="369"/>
      <c r="L78" s="369"/>
      <c r="M78" s="369"/>
      <c r="N78" s="369"/>
      <c r="O78" s="365"/>
      <c r="P78" s="365"/>
      <c r="Q78" s="365"/>
      <c r="R78" s="372">
        <f>VLOOKUP(Table2[[#This Row],[Course Title]],'TSD-Data'!$A$1:$E$56,4,FALSE)</f>
        <v>0</v>
      </c>
      <c r="S78" s="372">
        <f>VLOOKUP(Table2[[#This Row],[Course Title]],'TSD-Data'!$A$1:$F$53,6,FALSE)</f>
        <v>0</v>
      </c>
      <c r="T78" s="372">
        <f>VLOOKUP(Table2[[#This Row],[Course Title]],'TSD-Data'!$A$1:$E$56,5,FALSE)</f>
        <v>0</v>
      </c>
      <c r="U78" s="369">
        <v>0</v>
      </c>
      <c r="V78" s="369">
        <f>Table2[[#This Row],[Quotas]]-Table2[[#This Row],[Open Quotas]]</f>
        <v>0</v>
      </c>
      <c r="W78" s="369">
        <v>0</v>
      </c>
      <c r="X78" s="369">
        <v>0</v>
      </c>
      <c r="Y78" s="369">
        <v>0</v>
      </c>
      <c r="Z78" s="369">
        <v>0</v>
      </c>
      <c r="AA78" s="369">
        <v>0</v>
      </c>
      <c r="AB78" s="369">
        <v>0</v>
      </c>
      <c r="AC78" s="369" t="s">
        <v>285</v>
      </c>
      <c r="AD78" s="369">
        <v>-61</v>
      </c>
      <c r="AE78" s="369">
        <v>0</v>
      </c>
      <c r="AF78" s="369">
        <v>0</v>
      </c>
      <c r="AG78" s="369">
        <v>0</v>
      </c>
      <c r="AH78" s="369">
        <v>0</v>
      </c>
      <c r="AI78" s="369" t="e">
        <v>#DIV/0!</v>
      </c>
      <c r="AJ78" s="369">
        <v>0</v>
      </c>
      <c r="AK78" s="369">
        <v>1</v>
      </c>
    </row>
    <row r="79" spans="1:37" s="373" customFormat="1" x14ac:dyDescent="0.25">
      <c r="A79" s="365"/>
      <c r="B79" s="365" t="s">
        <v>55</v>
      </c>
      <c r="C79" s="367" t="str">
        <f>VLOOKUP(Table2[[#This Row],[Course Title]],'TSD-Data'!$A$1:$E$56,2,FALSE)</f>
        <v>A-493-0103</v>
      </c>
      <c r="D79" s="367" t="str">
        <f>VLOOKUP(Table2[[#This Row],[Course Title]],'TSD-Data'!$A$1:$E$56,3,FALSE)</f>
        <v>12JY</v>
      </c>
      <c r="E79" s="365" t="s">
        <v>192</v>
      </c>
      <c r="F79" s="368">
        <v>45635</v>
      </c>
      <c r="G79" s="368">
        <v>45639</v>
      </c>
      <c r="H79" s="370">
        <v>0.33333333333333331</v>
      </c>
      <c r="I79" s="369"/>
      <c r="J79" s="369"/>
      <c r="K79" s="369"/>
      <c r="L79" s="369"/>
      <c r="M79" s="369"/>
      <c r="N79" s="369"/>
      <c r="O79" s="365" t="s">
        <v>314</v>
      </c>
      <c r="P79" s="365"/>
      <c r="Q79" s="365"/>
      <c r="R79" s="372">
        <f>VLOOKUP(Table2[[#This Row],[Course Title]],'TSD-Data'!$A$1:$E$56,4,FALSE)</f>
        <v>25</v>
      </c>
      <c r="S79" s="372">
        <f>VLOOKUP(Table2[[#This Row],[Course Title]],'TSD-Data'!$A$1:$F$53,6,FALSE)</f>
        <v>40</v>
      </c>
      <c r="T79" s="372">
        <f>VLOOKUP(Table2[[#This Row],[Course Title]],'TSD-Data'!$A$1:$E$56,5,FALSE)</f>
        <v>5</v>
      </c>
      <c r="U79" s="369">
        <v>86</v>
      </c>
      <c r="V79" s="369">
        <f>Table2[[#This Row],[Quotas]]-Table2[[#This Row],[Open Quotas]]</f>
        <v>24</v>
      </c>
      <c r="W79" s="369">
        <v>0</v>
      </c>
      <c r="X79" s="369">
        <v>15</v>
      </c>
      <c r="Y79" s="369">
        <v>0</v>
      </c>
      <c r="Z79" s="369">
        <v>8</v>
      </c>
      <c r="AA79" s="369">
        <v>0</v>
      </c>
      <c r="AB79" s="369">
        <v>0</v>
      </c>
      <c r="AC79" s="369" t="s">
        <v>291</v>
      </c>
      <c r="AD79" s="369">
        <v>-61</v>
      </c>
      <c r="AE79" s="369">
        <v>0</v>
      </c>
      <c r="AF79" s="369">
        <v>0</v>
      </c>
      <c r="AG79" s="369">
        <v>1</v>
      </c>
      <c r="AH79" s="369">
        <v>0</v>
      </c>
      <c r="AI79" s="369">
        <v>40</v>
      </c>
      <c r="AJ79" s="369">
        <v>1</v>
      </c>
      <c r="AK79" s="369">
        <v>1</v>
      </c>
    </row>
    <row r="80" spans="1:37" s="373" customFormat="1" x14ac:dyDescent="0.25">
      <c r="A80" s="365"/>
      <c r="B80" s="365" t="s">
        <v>55</v>
      </c>
      <c r="C80" s="367" t="str">
        <f>VLOOKUP(Table2[[#This Row],[Course Title]],'TSD-Data'!$A$1:$E$56,2,FALSE)</f>
        <v>A-493-0103</v>
      </c>
      <c r="D80" s="367" t="str">
        <f>VLOOKUP(Table2[[#This Row],[Course Title]],'TSD-Data'!$A$1:$E$56,3,FALSE)</f>
        <v>12JY</v>
      </c>
      <c r="E80" s="365" t="s">
        <v>212</v>
      </c>
      <c r="F80" s="383">
        <v>45635</v>
      </c>
      <c r="G80" s="383">
        <v>45639</v>
      </c>
      <c r="H80" s="370">
        <v>0.33333333333333331</v>
      </c>
      <c r="I80" s="369"/>
      <c r="J80" s="369"/>
      <c r="K80" s="369"/>
      <c r="L80" s="369"/>
      <c r="M80" s="369"/>
      <c r="N80" s="369"/>
      <c r="O80" s="365" t="s">
        <v>314</v>
      </c>
      <c r="P80" s="365"/>
      <c r="Q80" s="365"/>
      <c r="R80" s="372">
        <f>VLOOKUP(Table2[[#This Row],[Course Title]],'TSD-Data'!$A$1:$E$56,4,FALSE)</f>
        <v>25</v>
      </c>
      <c r="S80" s="372">
        <f>VLOOKUP(Table2[[#This Row],[Course Title]],'TSD-Data'!$A$1:$F$53,6,FALSE)</f>
        <v>40</v>
      </c>
      <c r="T80" s="372">
        <f>VLOOKUP(Table2[[#This Row],[Course Title]],'TSD-Data'!$A$1:$E$56,5,FALSE)</f>
        <v>5</v>
      </c>
      <c r="U80" s="369">
        <v>248</v>
      </c>
      <c r="V80" s="369">
        <f>Table2[[#This Row],[Quotas]]-Table2[[#This Row],[Open Quotas]]</f>
        <v>25</v>
      </c>
      <c r="W80" s="369">
        <v>0</v>
      </c>
      <c r="X80" s="369">
        <v>20</v>
      </c>
      <c r="Y80" s="369">
        <v>0</v>
      </c>
      <c r="Z80" s="369">
        <v>4</v>
      </c>
      <c r="AA80" s="369">
        <v>0</v>
      </c>
      <c r="AB80" s="369">
        <v>0</v>
      </c>
      <c r="AC80" s="369" t="s">
        <v>291</v>
      </c>
      <c r="AD80" s="369">
        <v>-61</v>
      </c>
      <c r="AE80" s="369">
        <v>0</v>
      </c>
      <c r="AF80" s="369">
        <v>0</v>
      </c>
      <c r="AG80" s="369">
        <v>1</v>
      </c>
      <c r="AH80" s="369">
        <v>0</v>
      </c>
      <c r="AI80" s="369">
        <v>40</v>
      </c>
      <c r="AJ80" s="369">
        <v>0</v>
      </c>
      <c r="AK80" s="369">
        <v>1</v>
      </c>
    </row>
    <row r="81" spans="1:37" s="373" customFormat="1" x14ac:dyDescent="0.25">
      <c r="A81" s="365"/>
      <c r="B81" s="365" t="s">
        <v>61</v>
      </c>
      <c r="C81" s="367" t="str">
        <f>VLOOKUP(Table2[[#This Row],[Course Title]],'TSD-Data'!$A$1:$E$56,2,FALSE)</f>
        <v>A-493-0078</v>
      </c>
      <c r="D81" s="367">
        <f>VLOOKUP(Table2[[#This Row],[Course Title]],'TSD-Data'!$A$1:$E$56,3,FALSE)</f>
        <v>1228</v>
      </c>
      <c r="E81" s="365" t="s">
        <v>86</v>
      </c>
      <c r="F81" s="368">
        <v>45635</v>
      </c>
      <c r="G81" s="368">
        <v>45638</v>
      </c>
      <c r="H81" s="369"/>
      <c r="I81" s="370">
        <v>0.33333333333333331</v>
      </c>
      <c r="J81" s="379">
        <v>0.20833333333333334</v>
      </c>
      <c r="K81" s="369">
        <v>1600</v>
      </c>
      <c r="L81" s="369">
        <v>1400</v>
      </c>
      <c r="M81" s="370">
        <v>0.125</v>
      </c>
      <c r="N81" s="369">
        <v>2200</v>
      </c>
      <c r="O81" s="365" t="s">
        <v>304</v>
      </c>
      <c r="P81" s="365"/>
      <c r="Q81" s="365"/>
      <c r="R81" s="372">
        <f>VLOOKUP(Table2[[#This Row],[Course Title]],'TSD-Data'!$A$1:$E$56,4,FALSE)</f>
        <v>45</v>
      </c>
      <c r="S81" s="372">
        <f>VLOOKUP(Table2[[#This Row],[Course Title]],'TSD-Data'!$A$1:$F$53,6,FALSE)</f>
        <v>32</v>
      </c>
      <c r="T81" s="372">
        <f>VLOOKUP(Table2[[#This Row],[Course Title]],'TSD-Data'!$A$1:$E$56,5,FALSE)</f>
        <v>4</v>
      </c>
      <c r="U81" s="369">
        <v>508</v>
      </c>
      <c r="V81" s="369">
        <f>Table2[[#This Row],[Quotas]]-Table2[[#This Row],[Open Quotas]]</f>
        <v>45</v>
      </c>
      <c r="W81" s="369">
        <v>2</v>
      </c>
      <c r="X81" s="369">
        <v>38</v>
      </c>
      <c r="Y81" s="369">
        <v>0</v>
      </c>
      <c r="Z81" s="369">
        <v>9</v>
      </c>
      <c r="AA81" s="369">
        <v>2</v>
      </c>
      <c r="AB81" s="369">
        <v>0</v>
      </c>
      <c r="AC81" s="369" t="s">
        <v>291</v>
      </c>
      <c r="AD81" s="369">
        <v>-62</v>
      </c>
      <c r="AE81" s="369">
        <v>0</v>
      </c>
      <c r="AF81" s="369">
        <v>0</v>
      </c>
      <c r="AG81" s="369">
        <v>1</v>
      </c>
      <c r="AH81" s="369">
        <v>0</v>
      </c>
      <c r="AI81" s="369">
        <v>32</v>
      </c>
      <c r="AJ81" s="369">
        <v>0</v>
      </c>
      <c r="AK81" s="369">
        <v>1</v>
      </c>
    </row>
    <row r="82" spans="1:37" s="373" customFormat="1" x14ac:dyDescent="0.25">
      <c r="A82" s="366"/>
      <c r="B82" s="366" t="s">
        <v>338</v>
      </c>
      <c r="C82" s="374" t="str">
        <f>VLOOKUP(Table2[[#This Row],[Course Title]],'TSD-Data'!$A$1:$E$56,2,FALSE)</f>
        <v>A-4J-0019</v>
      </c>
      <c r="D82" s="374" t="str">
        <f>VLOOKUP(Table2[[#This Row],[Course Title]],'TSD-Data'!$A$1:$E$56,3,FALSE)</f>
        <v>28SL/285M</v>
      </c>
      <c r="E82" s="366" t="s">
        <v>200</v>
      </c>
      <c r="F82" s="375">
        <v>45635</v>
      </c>
      <c r="G82" s="375">
        <v>45639</v>
      </c>
      <c r="H82" s="377">
        <v>0.33333333333333331</v>
      </c>
      <c r="I82" s="376"/>
      <c r="J82" s="376"/>
      <c r="K82" s="376"/>
      <c r="L82" s="376"/>
      <c r="M82" s="376"/>
      <c r="N82" s="376"/>
      <c r="O82" s="366" t="s">
        <v>327</v>
      </c>
      <c r="P82" s="523" t="s">
        <v>329</v>
      </c>
      <c r="Q82" s="365"/>
      <c r="R82" s="378">
        <f>VLOOKUP(Table2[[#This Row],[Course Title]],'TSD-Data'!$A$1:$E$56,4,FALSE)</f>
        <v>20</v>
      </c>
      <c r="S82" s="378">
        <f>VLOOKUP(Table2[[#This Row],[Course Title]],'TSD-Data'!$A$1:$F$53,6,FALSE)</f>
        <v>40</v>
      </c>
      <c r="T82" s="378">
        <f>VLOOKUP(Table2[[#This Row],[Course Title]],'TSD-Data'!$A$1:$E$56,5,FALSE)</f>
        <v>5</v>
      </c>
      <c r="U82" s="376">
        <v>351</v>
      </c>
      <c r="V82" s="376">
        <f>Table2[[#This Row],[Quotas]]-Table2[[#This Row],[Open Quotas]]</f>
        <v>19</v>
      </c>
      <c r="W82" s="376">
        <v>0</v>
      </c>
      <c r="X82" s="376">
        <v>19</v>
      </c>
      <c r="Y82" s="376">
        <v>0</v>
      </c>
      <c r="Z82" s="376">
        <v>0</v>
      </c>
      <c r="AA82" s="376">
        <v>0</v>
      </c>
      <c r="AB82" s="376">
        <v>0</v>
      </c>
      <c r="AC82" s="376" t="s">
        <v>281</v>
      </c>
      <c r="AD82" s="376">
        <v>-61</v>
      </c>
      <c r="AE82" s="376">
        <v>0</v>
      </c>
      <c r="AF82" s="376">
        <v>0</v>
      </c>
      <c r="AG82" s="376">
        <v>1</v>
      </c>
      <c r="AH82" s="376">
        <v>1</v>
      </c>
      <c r="AI82" s="376">
        <v>20</v>
      </c>
      <c r="AJ82" s="376">
        <v>1</v>
      </c>
      <c r="AK82" s="376">
        <v>1</v>
      </c>
    </row>
    <row r="83" spans="1:37" s="373" customFormat="1" x14ac:dyDescent="0.25">
      <c r="A83" s="366"/>
      <c r="B83" s="366" t="s">
        <v>40</v>
      </c>
      <c r="C83" s="374" t="str">
        <f>VLOOKUP(Table2[[#This Row],[Course Title]],'TSD-Data'!$A$1:$E$56,2,FALSE)</f>
        <v>A-493-2098</v>
      </c>
      <c r="D83" s="374" t="str">
        <f>VLOOKUP(Table2[[#This Row],[Course Title]],'TSD-Data'!$A$1:$E$56,3,FALSE)</f>
        <v>09WW</v>
      </c>
      <c r="E83" s="366" t="s">
        <v>86</v>
      </c>
      <c r="F83" s="375">
        <v>45635</v>
      </c>
      <c r="G83" s="375">
        <v>45639</v>
      </c>
      <c r="H83" s="376"/>
      <c r="I83" s="376">
        <v>1300</v>
      </c>
      <c r="J83" s="376">
        <v>1000</v>
      </c>
      <c r="K83" s="376">
        <v>2100</v>
      </c>
      <c r="L83" s="376">
        <v>1900</v>
      </c>
      <c r="M83" s="377">
        <v>0.33333333333333331</v>
      </c>
      <c r="N83" s="377">
        <v>0.125</v>
      </c>
      <c r="O83" s="366" t="s">
        <v>282</v>
      </c>
      <c r="P83" s="366"/>
      <c r="Q83" s="365"/>
      <c r="R83" s="378">
        <f>VLOOKUP(Table2[[#This Row],[Course Title]],'TSD-Data'!$A$1:$E$56,4,FALSE)</f>
        <v>100</v>
      </c>
      <c r="S83" s="378">
        <f>VLOOKUP(Table2[[#This Row],[Course Title]],'TSD-Data'!$A$1:$F$53,6,FALSE)</f>
        <v>16</v>
      </c>
      <c r="T83" s="378">
        <f>VLOOKUP(Table2[[#This Row],[Course Title]],'TSD-Data'!$A$1:$E$56,5,FALSE)</f>
        <v>2</v>
      </c>
      <c r="U83" s="376">
        <v>1432</v>
      </c>
      <c r="V83" s="376">
        <f>Table2[[#This Row],[Quotas]]-Table2[[#This Row],[Open Quotas]]</f>
        <v>80</v>
      </c>
      <c r="W83" s="376">
        <v>0</v>
      </c>
      <c r="X83" s="376">
        <v>68</v>
      </c>
      <c r="Y83" s="376">
        <v>1</v>
      </c>
      <c r="Z83" s="376">
        <v>13</v>
      </c>
      <c r="AA83" s="376">
        <v>0</v>
      </c>
      <c r="AB83" s="376">
        <v>0</v>
      </c>
      <c r="AC83" s="376" t="s">
        <v>287</v>
      </c>
      <c r="AD83" s="376">
        <v>-61</v>
      </c>
      <c r="AE83" s="376">
        <v>0</v>
      </c>
      <c r="AF83" s="376">
        <v>0</v>
      </c>
      <c r="AG83" s="376">
        <v>1</v>
      </c>
      <c r="AH83" s="376">
        <v>0</v>
      </c>
      <c r="AI83" s="376">
        <v>16</v>
      </c>
      <c r="AJ83" s="376">
        <v>20</v>
      </c>
      <c r="AK83" s="376">
        <v>1</v>
      </c>
    </row>
    <row r="84" spans="1:37" s="373" customFormat="1" x14ac:dyDescent="0.25">
      <c r="A84" s="366"/>
      <c r="B84" s="366" t="s">
        <v>58</v>
      </c>
      <c r="C84" s="367" t="str">
        <f>VLOOKUP(Table2[[#This Row],[Course Title]],'TSD-Data'!$A$1:$E$56,2,FALSE)</f>
        <v xml:space="preserve">A-493-0075 </v>
      </c>
      <c r="D84" s="367" t="str">
        <f>VLOOKUP(Table2[[#This Row],[Course Title]],'TSD-Data'!$A$1:$E$56,3,FALSE)</f>
        <v>714U</v>
      </c>
      <c r="E84" s="366" t="s">
        <v>170</v>
      </c>
      <c r="F84" s="375">
        <v>45636</v>
      </c>
      <c r="G84" s="375">
        <v>45639</v>
      </c>
      <c r="H84" s="377">
        <v>0.33333333333333331</v>
      </c>
      <c r="I84" s="376"/>
      <c r="J84" s="369"/>
      <c r="K84" s="376"/>
      <c r="L84" s="376"/>
      <c r="M84" s="369"/>
      <c r="N84" s="376"/>
      <c r="O84" s="366" t="s">
        <v>314</v>
      </c>
      <c r="P84" s="366"/>
      <c r="Q84" s="365"/>
      <c r="R84" s="372">
        <f>VLOOKUP(Table2[[#This Row],[Course Title]],'TSD-Data'!$A$1:$E$56,4,FALSE)</f>
        <v>30</v>
      </c>
      <c r="S84" s="372">
        <f>VLOOKUP(Table2[[#This Row],[Course Title]],'TSD-Data'!$A$1:$F$53,6,FALSE)</f>
        <v>32</v>
      </c>
      <c r="T84" s="372">
        <f>VLOOKUP(Table2[[#This Row],[Course Title]],'TSD-Data'!$A$1:$E$56,5,FALSE)</f>
        <v>4</v>
      </c>
      <c r="U84" s="376">
        <v>19</v>
      </c>
      <c r="V84" s="369">
        <f>Table2[[#This Row],[Quotas]]-Table2[[#This Row],[Open Quotas]]</f>
        <v>6</v>
      </c>
      <c r="W84" s="376">
        <v>0</v>
      </c>
      <c r="X84" s="376">
        <v>6</v>
      </c>
      <c r="Y84" s="376">
        <v>0</v>
      </c>
      <c r="Z84" s="376">
        <v>1</v>
      </c>
      <c r="AA84" s="376">
        <v>1</v>
      </c>
      <c r="AB84" s="376">
        <v>0</v>
      </c>
      <c r="AC84" s="376" t="s">
        <v>291</v>
      </c>
      <c r="AD84" s="376">
        <v>-61</v>
      </c>
      <c r="AE84" s="376">
        <v>0</v>
      </c>
      <c r="AF84" s="376">
        <v>0</v>
      </c>
      <c r="AG84" s="376">
        <v>1</v>
      </c>
      <c r="AH84" s="376">
        <v>0</v>
      </c>
      <c r="AI84" s="376">
        <v>32</v>
      </c>
      <c r="AJ84" s="376">
        <v>24</v>
      </c>
      <c r="AK84" s="376">
        <v>1</v>
      </c>
    </row>
    <row r="85" spans="1:37" s="373" customFormat="1" x14ac:dyDescent="0.25">
      <c r="A85" s="384"/>
      <c r="B85" s="384" t="s">
        <v>50</v>
      </c>
      <c r="C85" s="367" t="str">
        <f>VLOOKUP(Table2[[#This Row],[Course Title]],'TSD-Data'!$A$1:$E$56,2,FALSE)</f>
        <v>A-493-0331</v>
      </c>
      <c r="D85" s="367" t="str">
        <f>VLOOKUP(Table2[[#This Row],[Course Title]],'TSD-Data'!$A$1:$E$56,3,FALSE)</f>
        <v>10UG</v>
      </c>
      <c r="E85" s="384" t="s">
        <v>86</v>
      </c>
      <c r="F85" s="383">
        <v>45636</v>
      </c>
      <c r="G85" s="383">
        <v>45638</v>
      </c>
      <c r="H85" s="385"/>
      <c r="I85" s="385">
        <v>1200</v>
      </c>
      <c r="J85" s="381">
        <v>0.375</v>
      </c>
      <c r="K85" s="385">
        <v>2000</v>
      </c>
      <c r="L85" s="385">
        <v>1800</v>
      </c>
      <c r="M85" s="370">
        <v>0.29166666666666669</v>
      </c>
      <c r="N85" s="371">
        <v>8.3333333333333329E-2</v>
      </c>
      <c r="O85" s="384" t="s">
        <v>318</v>
      </c>
      <c r="P85" s="384" t="s">
        <v>278</v>
      </c>
      <c r="Q85" s="365"/>
      <c r="R85" s="372">
        <f>VLOOKUP(Table2[[#This Row],[Course Title]],'TSD-Data'!$A$1:$E$56,4,FALSE)</f>
        <v>45</v>
      </c>
      <c r="S85" s="372">
        <f>VLOOKUP(Table2[[#This Row],[Course Title]],'TSD-Data'!$A$1:$F$53,6,FALSE)</f>
        <v>24</v>
      </c>
      <c r="T85" s="372">
        <f>VLOOKUP(Table2[[#This Row],[Course Title]],'TSD-Data'!$A$1:$E$56,5,FALSE)</f>
        <v>3</v>
      </c>
      <c r="U85" s="385">
        <v>805</v>
      </c>
      <c r="V85" s="369">
        <f>Table2[[#This Row],[Quotas]]-Table2[[#This Row],[Open Quotas]]</f>
        <v>44</v>
      </c>
      <c r="W85" s="385">
        <v>5</v>
      </c>
      <c r="X85" s="385">
        <v>42</v>
      </c>
      <c r="Y85" s="385">
        <v>2</v>
      </c>
      <c r="Z85" s="385">
        <v>7</v>
      </c>
      <c r="AA85" s="385">
        <v>2</v>
      </c>
      <c r="AB85" s="385">
        <v>0</v>
      </c>
      <c r="AC85" s="385" t="s">
        <v>291</v>
      </c>
      <c r="AD85" s="385">
        <v>-62</v>
      </c>
      <c r="AE85" s="385">
        <v>0</v>
      </c>
      <c r="AF85" s="385">
        <v>0</v>
      </c>
      <c r="AG85" s="385">
        <v>1</v>
      </c>
      <c r="AH85" s="385">
        <v>1</v>
      </c>
      <c r="AI85" s="385">
        <v>12</v>
      </c>
      <c r="AJ85" s="385">
        <v>1</v>
      </c>
      <c r="AK85" s="385">
        <v>1</v>
      </c>
    </row>
    <row r="86" spans="1:37" s="373" customFormat="1" x14ac:dyDescent="0.25">
      <c r="A86" s="365"/>
      <c r="B86" s="365" t="s">
        <v>55</v>
      </c>
      <c r="C86" s="367" t="str">
        <f>VLOOKUP(Table2[[#This Row],[Course Title]],'TSD-Data'!$A$1:$E$56,2,FALSE)</f>
        <v>A-493-0103</v>
      </c>
      <c r="D86" s="367" t="str">
        <f>VLOOKUP(Table2[[#This Row],[Course Title]],'TSD-Data'!$A$1:$E$56,3,FALSE)</f>
        <v>12JY</v>
      </c>
      <c r="E86" s="365" t="s">
        <v>212</v>
      </c>
      <c r="F86" s="375">
        <v>45642</v>
      </c>
      <c r="G86" s="375">
        <v>45646</v>
      </c>
      <c r="H86" s="370">
        <v>0.33333333333333331</v>
      </c>
      <c r="I86" s="369"/>
      <c r="J86" s="376"/>
      <c r="K86" s="369"/>
      <c r="L86" s="369"/>
      <c r="M86" s="369"/>
      <c r="N86" s="369"/>
      <c r="O86" s="365" t="s">
        <v>314</v>
      </c>
      <c r="P86" s="365"/>
      <c r="Q86" s="365"/>
      <c r="R86" s="372">
        <f>VLOOKUP(Table2[[#This Row],[Course Title]],'TSD-Data'!$A$1:$E$56,4,FALSE)</f>
        <v>25</v>
      </c>
      <c r="S86" s="372">
        <f>VLOOKUP(Table2[[#This Row],[Course Title]],'TSD-Data'!$A$1:$F$53,6,FALSE)</f>
        <v>40</v>
      </c>
      <c r="T86" s="372">
        <f>VLOOKUP(Table2[[#This Row],[Course Title]],'TSD-Data'!$A$1:$E$56,5,FALSE)</f>
        <v>5</v>
      </c>
      <c r="U86" s="369">
        <v>248</v>
      </c>
      <c r="V86" s="369">
        <f>Table2[[#This Row],[Quotas]]-Table2[[#This Row],[Open Quotas]]</f>
        <v>24</v>
      </c>
      <c r="W86" s="369">
        <v>0</v>
      </c>
      <c r="X86" s="369">
        <v>25</v>
      </c>
      <c r="Y86" s="369">
        <v>0</v>
      </c>
      <c r="Z86" s="369">
        <v>1</v>
      </c>
      <c r="AA86" s="369">
        <v>2</v>
      </c>
      <c r="AB86" s="369">
        <v>0</v>
      </c>
      <c r="AC86" s="369" t="s">
        <v>291</v>
      </c>
      <c r="AD86" s="369">
        <v>-54</v>
      </c>
      <c r="AE86" s="369">
        <v>0</v>
      </c>
      <c r="AF86" s="369">
        <v>0</v>
      </c>
      <c r="AG86" s="369">
        <v>1</v>
      </c>
      <c r="AH86" s="369">
        <v>0</v>
      </c>
      <c r="AI86" s="369">
        <v>40</v>
      </c>
      <c r="AJ86" s="369">
        <v>1</v>
      </c>
      <c r="AK86" s="369">
        <v>1</v>
      </c>
    </row>
    <row r="87" spans="1:37" s="373" customFormat="1" x14ac:dyDescent="0.25">
      <c r="A87" s="365"/>
      <c r="B87" s="365" t="s">
        <v>55</v>
      </c>
      <c r="C87" s="367" t="str">
        <f>VLOOKUP(Table2[[#This Row],[Course Title]],'TSD-Data'!$A$1:$E$56,2,FALSE)</f>
        <v>A-493-0103</v>
      </c>
      <c r="D87" s="367" t="str">
        <f>VLOOKUP(Table2[[#This Row],[Course Title]],'TSD-Data'!$A$1:$E$56,3,FALSE)</f>
        <v>12JY</v>
      </c>
      <c r="E87" s="365" t="s">
        <v>199</v>
      </c>
      <c r="F87" s="375">
        <v>45642</v>
      </c>
      <c r="G87" s="375">
        <v>45646</v>
      </c>
      <c r="H87" s="370">
        <v>0.33333333333333331</v>
      </c>
      <c r="I87" s="369"/>
      <c r="J87" s="369"/>
      <c r="K87" s="369"/>
      <c r="L87" s="369"/>
      <c r="M87" s="369"/>
      <c r="N87" s="369"/>
      <c r="O87" s="365" t="s">
        <v>314</v>
      </c>
      <c r="P87" s="365"/>
      <c r="Q87" s="365"/>
      <c r="R87" s="372">
        <f>VLOOKUP(Table2[[#This Row],[Course Title]],'TSD-Data'!$A$1:$E$56,4,FALSE)</f>
        <v>25</v>
      </c>
      <c r="S87" s="372">
        <f>VLOOKUP(Table2[[#This Row],[Course Title]],'TSD-Data'!$A$1:$F$53,6,FALSE)</f>
        <v>40</v>
      </c>
      <c r="T87" s="372">
        <f>VLOOKUP(Table2[[#This Row],[Course Title]],'TSD-Data'!$A$1:$E$56,5,FALSE)</f>
        <v>5</v>
      </c>
      <c r="U87" s="369">
        <v>332</v>
      </c>
      <c r="V87" s="369">
        <f>Table2[[#This Row],[Quotas]]-Table2[[#This Row],[Open Quotas]]</f>
        <v>22</v>
      </c>
      <c r="W87" s="369">
        <v>0</v>
      </c>
      <c r="X87" s="369">
        <v>21</v>
      </c>
      <c r="Y87" s="369">
        <v>0</v>
      </c>
      <c r="Z87" s="369">
        <v>0</v>
      </c>
      <c r="AA87" s="369">
        <v>0</v>
      </c>
      <c r="AB87" s="369">
        <v>0</v>
      </c>
      <c r="AC87" s="369" t="s">
        <v>291</v>
      </c>
      <c r="AD87" s="369">
        <v>-54</v>
      </c>
      <c r="AE87" s="369">
        <v>0</v>
      </c>
      <c r="AF87" s="369">
        <v>0</v>
      </c>
      <c r="AG87" s="369">
        <v>1</v>
      </c>
      <c r="AH87" s="369">
        <v>0</v>
      </c>
      <c r="AI87" s="369">
        <v>40</v>
      </c>
      <c r="AJ87" s="369">
        <v>3</v>
      </c>
      <c r="AK87" s="369">
        <v>1</v>
      </c>
    </row>
    <row r="88" spans="1:37" s="373" customFormat="1" x14ac:dyDescent="0.25">
      <c r="A88" s="365"/>
      <c r="B88" s="366" t="s">
        <v>59</v>
      </c>
      <c r="C88" s="367" t="str">
        <f>VLOOKUP(Table2[[#This Row],[Course Title]],'TSD-Data'!$A$1:$E$56,2,FALSE)</f>
        <v>A-493-0550</v>
      </c>
      <c r="D88" s="367" t="str">
        <f>VLOOKUP(Table2[[#This Row],[Course Title]],'TSD-Data'!$A$1:$E$56,3,FALSE)</f>
        <v>09K5</v>
      </c>
      <c r="E88" s="365" t="s">
        <v>86</v>
      </c>
      <c r="F88" s="368">
        <v>45642</v>
      </c>
      <c r="G88" s="368">
        <v>45645</v>
      </c>
      <c r="H88" s="369"/>
      <c r="I88" s="369">
        <v>1300</v>
      </c>
      <c r="J88" s="369">
        <v>1000</v>
      </c>
      <c r="K88" s="369">
        <v>2100</v>
      </c>
      <c r="L88" s="369">
        <v>1900</v>
      </c>
      <c r="M88" s="370">
        <v>0.33333333333333331</v>
      </c>
      <c r="N88" s="370">
        <v>0.125</v>
      </c>
      <c r="O88" s="365" t="s">
        <v>301</v>
      </c>
      <c r="P88" s="365"/>
      <c r="Q88" s="365"/>
      <c r="R88" s="372">
        <f>VLOOKUP(Table2[[#This Row],[Course Title]],'TSD-Data'!$A$1:$E$56,4,FALSE)</f>
        <v>45</v>
      </c>
      <c r="S88" s="372">
        <f>VLOOKUP(Table2[[#This Row],[Course Title]],'TSD-Data'!$A$1:$F$53,6,FALSE)</f>
        <v>32</v>
      </c>
      <c r="T88" s="372">
        <f>VLOOKUP(Table2[[#This Row],[Course Title]],'TSD-Data'!$A$1:$E$56,5,FALSE)</f>
        <v>4</v>
      </c>
      <c r="U88" s="369">
        <v>949</v>
      </c>
      <c r="V88" s="369">
        <f>Table2[[#This Row],[Quotas]]-Table2[[#This Row],[Open Quotas]]</f>
        <v>45</v>
      </c>
      <c r="W88" s="369">
        <v>5</v>
      </c>
      <c r="X88" s="369">
        <v>41</v>
      </c>
      <c r="Y88" s="369">
        <v>0</v>
      </c>
      <c r="Z88" s="369">
        <v>8</v>
      </c>
      <c r="AA88" s="369">
        <v>2</v>
      </c>
      <c r="AB88" s="369">
        <v>0</v>
      </c>
      <c r="AC88" s="369" t="s">
        <v>291</v>
      </c>
      <c r="AD88" s="369">
        <v>-55</v>
      </c>
      <c r="AE88" s="369">
        <v>0</v>
      </c>
      <c r="AF88" s="369">
        <v>0</v>
      </c>
      <c r="AG88" s="369">
        <v>1</v>
      </c>
      <c r="AH88" s="369">
        <v>0</v>
      </c>
      <c r="AI88" s="369">
        <v>32</v>
      </c>
      <c r="AJ88" s="369">
        <v>0</v>
      </c>
      <c r="AK88" s="369">
        <v>1</v>
      </c>
    </row>
    <row r="89" spans="1:37" s="373" customFormat="1" x14ac:dyDescent="0.25">
      <c r="A89" s="365" t="s">
        <v>528</v>
      </c>
      <c r="B89" s="365" t="s">
        <v>361</v>
      </c>
      <c r="C89" s="367" t="str">
        <f>VLOOKUP(Table2[[#This Row],[Course Title]],'TSD-Data'!$A$1:$E$56,2,FALSE)</f>
        <v>Function</v>
      </c>
      <c r="D89" s="367" t="str">
        <f>VLOOKUP(Table2[[#This Row],[Course Title]],'TSD-Data'!$A$1:$E$56,3,FALSE)</f>
        <v>Function</v>
      </c>
      <c r="E89" s="365" t="s">
        <v>198</v>
      </c>
      <c r="F89" s="383">
        <v>45643</v>
      </c>
      <c r="G89" s="383">
        <v>45644</v>
      </c>
      <c r="H89" s="369"/>
      <c r="I89" s="369"/>
      <c r="J89" s="369"/>
      <c r="K89" s="369"/>
      <c r="L89" s="369"/>
      <c r="M89" s="376"/>
      <c r="N89" s="369"/>
      <c r="O89" s="365"/>
      <c r="P89" s="365"/>
      <c r="Q89" s="365"/>
      <c r="R89" s="372">
        <f>VLOOKUP(Table2[[#This Row],[Course Title]],'TSD-Data'!$A$1:$E$56,4,FALSE)</f>
        <v>0</v>
      </c>
      <c r="S89" s="372">
        <f>VLOOKUP(Table2[[#This Row],[Course Title]],'TSD-Data'!$A$1:$F$53,6,FALSE)</f>
        <v>0</v>
      </c>
      <c r="T89" s="372">
        <f>VLOOKUP(Table2[[#This Row],[Course Title]],'TSD-Data'!$A$1:$E$56,5,FALSE)</f>
        <v>0</v>
      </c>
      <c r="U89" s="369">
        <v>0</v>
      </c>
      <c r="V89" s="369">
        <f>Table2[[#This Row],[Quotas]]-Table2[[#This Row],[Open Quotas]]</f>
        <v>0</v>
      </c>
      <c r="W89" s="369">
        <v>0</v>
      </c>
      <c r="X89" s="369">
        <v>0</v>
      </c>
      <c r="Y89" s="369">
        <v>0</v>
      </c>
      <c r="Z89" s="369">
        <v>0</v>
      </c>
      <c r="AA89" s="369">
        <v>0</v>
      </c>
      <c r="AB89" s="369">
        <v>0</v>
      </c>
      <c r="AC89" s="369" t="s">
        <v>285</v>
      </c>
      <c r="AD89" s="369">
        <v>-56</v>
      </c>
      <c r="AE89" s="369">
        <v>0</v>
      </c>
      <c r="AF89" s="369">
        <v>0</v>
      </c>
      <c r="AG89" s="369">
        <v>0</v>
      </c>
      <c r="AH89" s="369">
        <v>0</v>
      </c>
      <c r="AI89" s="369" t="e">
        <v>#DIV/0!</v>
      </c>
      <c r="AJ89" s="369">
        <v>0</v>
      </c>
      <c r="AK89" s="369">
        <v>1</v>
      </c>
    </row>
    <row r="90" spans="1:37" s="373" customFormat="1" x14ac:dyDescent="0.25">
      <c r="A90" s="365" t="s">
        <v>429</v>
      </c>
      <c r="B90" s="365" t="s">
        <v>361</v>
      </c>
      <c r="C90" s="367" t="str">
        <f>VLOOKUP(Table2[[#This Row],[Course Title]],'TSD-Data'!$A$1:$E$56,2,FALSE)</f>
        <v>Function</v>
      </c>
      <c r="D90" s="367" t="str">
        <f>VLOOKUP(Table2[[#This Row],[Course Title]],'TSD-Data'!$A$1:$E$56,3,FALSE)</f>
        <v>Function</v>
      </c>
      <c r="E90" s="365" t="s">
        <v>198</v>
      </c>
      <c r="F90" s="368">
        <v>45645</v>
      </c>
      <c r="G90" s="368">
        <v>45645</v>
      </c>
      <c r="H90" s="369"/>
      <c r="I90" s="369"/>
      <c r="J90" s="369"/>
      <c r="K90" s="369"/>
      <c r="L90" s="369"/>
      <c r="M90" s="369"/>
      <c r="N90" s="376"/>
      <c r="O90" s="365"/>
      <c r="P90" s="365"/>
      <c r="Q90" s="365"/>
      <c r="R90" s="372">
        <f>VLOOKUP(Table2[[#This Row],[Course Title]],'TSD-Data'!$A$1:$E$56,4,FALSE)</f>
        <v>0</v>
      </c>
      <c r="S90" s="372">
        <f>VLOOKUP(Table2[[#This Row],[Course Title]],'TSD-Data'!$A$1:$F$53,6,FALSE)</f>
        <v>0</v>
      </c>
      <c r="T90" s="372">
        <f>VLOOKUP(Table2[[#This Row],[Course Title]],'TSD-Data'!$A$1:$E$56,5,FALSE)</f>
        <v>0</v>
      </c>
      <c r="U90" s="369">
        <v>0</v>
      </c>
      <c r="V90" s="369">
        <f>Table2[[#This Row],[Quotas]]-Table2[[#This Row],[Open Quotas]]</f>
        <v>0</v>
      </c>
      <c r="W90" s="369">
        <v>0</v>
      </c>
      <c r="X90" s="369">
        <v>0</v>
      </c>
      <c r="Y90" s="369">
        <v>0</v>
      </c>
      <c r="Z90" s="369">
        <v>0</v>
      </c>
      <c r="AA90" s="369">
        <v>0</v>
      </c>
      <c r="AB90" s="369">
        <v>0</v>
      </c>
      <c r="AC90" s="369" t="s">
        <v>285</v>
      </c>
      <c r="AD90" s="369">
        <v>-55</v>
      </c>
      <c r="AE90" s="369">
        <v>0</v>
      </c>
      <c r="AF90" s="369">
        <v>0</v>
      </c>
      <c r="AG90" s="369">
        <v>0</v>
      </c>
      <c r="AH90" s="369">
        <v>0</v>
      </c>
      <c r="AI90" s="369" t="e">
        <v>#DIV/0!</v>
      </c>
      <c r="AJ90" s="369">
        <v>0</v>
      </c>
      <c r="AK90" s="369">
        <v>1</v>
      </c>
    </row>
    <row r="91" spans="1:37" s="373" customFormat="1" x14ac:dyDescent="0.25">
      <c r="A91" s="365" t="s">
        <v>438</v>
      </c>
      <c r="B91" s="366" t="s">
        <v>223</v>
      </c>
      <c r="C91" s="367" t="str">
        <f>VLOOKUP(Table2[[#This Row],[Course Title]],'TSD-Data'!$A$1:$E$56,2,FALSE)</f>
        <v>Holiday</v>
      </c>
      <c r="D91" s="367" t="str">
        <f>VLOOKUP(Table2[[#This Row],[Course Title]],'TSD-Data'!$A$1:$E$56,3,FALSE)</f>
        <v>Holiday</v>
      </c>
      <c r="E91" s="366" t="s">
        <v>223</v>
      </c>
      <c r="F91" s="368">
        <v>45651</v>
      </c>
      <c r="G91" s="368">
        <v>45651</v>
      </c>
      <c r="H91" s="369"/>
      <c r="I91" s="369"/>
      <c r="J91" s="369"/>
      <c r="K91" s="369"/>
      <c r="L91" s="369"/>
      <c r="M91" s="369"/>
      <c r="N91" s="369"/>
      <c r="O91" s="365"/>
      <c r="P91" s="365"/>
      <c r="Q91" s="365"/>
      <c r="R91" s="372">
        <f>VLOOKUP(Table2[[#This Row],[Course Title]],'TSD-Data'!$A$1:$E$56,4,FALSE)</f>
        <v>0</v>
      </c>
      <c r="S91" s="372">
        <f>VLOOKUP(Table2[[#This Row],[Course Title]],'TSD-Data'!$A$1:$F$53,6,FALSE)</f>
        <v>0</v>
      </c>
      <c r="T91" s="372">
        <f>VLOOKUP(Table2[[#This Row],[Course Title]],'TSD-Data'!$A$1:$E$56,5,FALSE)</f>
        <v>0</v>
      </c>
      <c r="U91" s="369">
        <v>0</v>
      </c>
      <c r="V91" s="369">
        <f>Table2[[#This Row],[Quotas]]-Table2[[#This Row],[Open Quotas]]</f>
        <v>0</v>
      </c>
      <c r="W91" s="369">
        <v>0</v>
      </c>
      <c r="X91" s="369">
        <v>0</v>
      </c>
      <c r="Y91" s="369">
        <v>0</v>
      </c>
      <c r="Z91" s="369">
        <v>0</v>
      </c>
      <c r="AA91" s="369">
        <v>0</v>
      </c>
      <c r="AB91" s="369">
        <v>0</v>
      </c>
      <c r="AC91" s="369" t="s">
        <v>285</v>
      </c>
      <c r="AD91" s="369">
        <v>-49</v>
      </c>
      <c r="AE91" s="369">
        <v>0</v>
      </c>
      <c r="AF91" s="369">
        <v>0</v>
      </c>
      <c r="AG91" s="369">
        <v>0</v>
      </c>
      <c r="AH91" s="369">
        <v>0</v>
      </c>
      <c r="AI91" s="369" t="e">
        <v>#DIV/0!</v>
      </c>
      <c r="AJ91" s="369">
        <v>0</v>
      </c>
      <c r="AK91" s="369">
        <v>1</v>
      </c>
    </row>
    <row r="92" spans="1:37" s="373" customFormat="1" x14ac:dyDescent="0.25">
      <c r="A92" s="365" t="s">
        <v>439</v>
      </c>
      <c r="B92" s="366" t="s">
        <v>223</v>
      </c>
      <c r="C92" s="367" t="str">
        <f>VLOOKUP(Table2[[#This Row],[Course Title]],'TSD-Data'!$A$1:$E$56,2,FALSE)</f>
        <v>Holiday</v>
      </c>
      <c r="D92" s="367" t="str">
        <f>VLOOKUP(Table2[[#This Row],[Course Title]],'TSD-Data'!$A$1:$E$56,3,FALSE)</f>
        <v>Holiday</v>
      </c>
      <c r="E92" s="366" t="s">
        <v>223</v>
      </c>
      <c r="F92" s="368">
        <v>45658</v>
      </c>
      <c r="G92" s="368">
        <v>45658</v>
      </c>
      <c r="H92" s="369"/>
      <c r="I92" s="369"/>
      <c r="J92" s="369"/>
      <c r="K92" s="369"/>
      <c r="L92" s="369"/>
      <c r="M92" s="369"/>
      <c r="N92" s="369"/>
      <c r="O92" s="365"/>
      <c r="P92" s="365"/>
      <c r="Q92" s="365"/>
      <c r="R92" s="372">
        <f>VLOOKUP(Table2[[#This Row],[Course Title]],'TSD-Data'!$A$1:$E$56,4,FALSE)</f>
        <v>0</v>
      </c>
      <c r="S92" s="372">
        <f>VLOOKUP(Table2[[#This Row],[Course Title]],'TSD-Data'!$A$1:$F$53,6,FALSE)</f>
        <v>0</v>
      </c>
      <c r="T92" s="372">
        <f>VLOOKUP(Table2[[#This Row],[Course Title]],'TSD-Data'!$A$1:$E$56,5,FALSE)</f>
        <v>0</v>
      </c>
      <c r="U92" s="369">
        <v>0</v>
      </c>
      <c r="V92" s="369">
        <f>Table2[[#This Row],[Quotas]]-Table2[[#This Row],[Open Quotas]]</f>
        <v>0</v>
      </c>
      <c r="W92" s="369">
        <v>0</v>
      </c>
      <c r="X92" s="369">
        <v>0</v>
      </c>
      <c r="Y92" s="369">
        <v>0</v>
      </c>
      <c r="Z92" s="369">
        <v>0</v>
      </c>
      <c r="AA92" s="369">
        <v>0</v>
      </c>
      <c r="AB92" s="369">
        <v>0</v>
      </c>
      <c r="AC92" s="369" t="s">
        <v>285</v>
      </c>
      <c r="AD92" s="369">
        <v>-42</v>
      </c>
      <c r="AE92" s="369">
        <v>0</v>
      </c>
      <c r="AF92" s="369">
        <v>0</v>
      </c>
      <c r="AG92" s="369">
        <v>0</v>
      </c>
      <c r="AH92" s="369">
        <v>0</v>
      </c>
      <c r="AI92" s="369" t="e">
        <v>#DIV/0!</v>
      </c>
      <c r="AJ92" s="369">
        <v>0</v>
      </c>
      <c r="AK92" s="369">
        <v>2</v>
      </c>
    </row>
    <row r="93" spans="1:37" s="373" customFormat="1" x14ac:dyDescent="0.25">
      <c r="A93" s="366"/>
      <c r="B93" s="366" t="s">
        <v>40</v>
      </c>
      <c r="C93" s="374" t="str">
        <f>VLOOKUP(Table2[[#This Row],[Course Title]],'TSD-Data'!$A$1:$E$56,2,FALSE)</f>
        <v>A-493-2098</v>
      </c>
      <c r="D93" s="374" t="str">
        <f>VLOOKUP(Table2[[#This Row],[Course Title]],'TSD-Data'!$A$1:$E$56,3,FALSE)</f>
        <v>09WW</v>
      </c>
      <c r="E93" s="366" t="s">
        <v>86</v>
      </c>
      <c r="F93" s="375">
        <v>45662</v>
      </c>
      <c r="G93" s="375">
        <v>45663</v>
      </c>
      <c r="H93" s="376"/>
      <c r="I93" s="376">
        <v>1900</v>
      </c>
      <c r="J93" s="376">
        <v>1600</v>
      </c>
      <c r="K93" s="377">
        <v>0.125</v>
      </c>
      <c r="L93" s="380">
        <v>4.1666666666666664E-2</v>
      </c>
      <c r="M93" s="376">
        <v>1400</v>
      </c>
      <c r="N93" s="380">
        <v>0.375</v>
      </c>
      <c r="O93" s="366" t="s">
        <v>282</v>
      </c>
      <c r="P93" s="366"/>
      <c r="Q93" s="365"/>
      <c r="R93" s="378">
        <f>VLOOKUP(Table2[[#This Row],[Course Title]],'TSD-Data'!$A$1:$E$56,4,FALSE)</f>
        <v>100</v>
      </c>
      <c r="S93" s="378">
        <f>VLOOKUP(Table2[[#This Row],[Course Title]],'TSD-Data'!$A$1:$F$53,6,FALSE)</f>
        <v>16</v>
      </c>
      <c r="T93" s="378">
        <f>VLOOKUP(Table2[[#This Row],[Course Title]],'TSD-Data'!$A$1:$E$56,5,FALSE)</f>
        <v>2</v>
      </c>
      <c r="U93" s="376">
        <v>161</v>
      </c>
      <c r="V93" s="376">
        <f>Table2[[#This Row],[Quotas]]-Table2[[#This Row],[Open Quotas]]</f>
        <v>97</v>
      </c>
      <c r="W93" s="376">
        <v>3</v>
      </c>
      <c r="X93" s="376">
        <v>76</v>
      </c>
      <c r="Y93" s="376">
        <v>1</v>
      </c>
      <c r="Z93" s="376">
        <v>22</v>
      </c>
      <c r="AA93" s="376">
        <v>0</v>
      </c>
      <c r="AB93" s="376">
        <v>0</v>
      </c>
      <c r="AC93" s="376" t="s">
        <v>287</v>
      </c>
      <c r="AD93" s="376">
        <v>-37</v>
      </c>
      <c r="AE93" s="376">
        <v>0</v>
      </c>
      <c r="AF93" s="376">
        <v>0</v>
      </c>
      <c r="AG93" s="376">
        <v>1</v>
      </c>
      <c r="AH93" s="376">
        <v>0</v>
      </c>
      <c r="AI93" s="376">
        <v>16</v>
      </c>
      <c r="AJ93" s="376">
        <v>3</v>
      </c>
      <c r="AK93" s="376">
        <v>2</v>
      </c>
    </row>
    <row r="94" spans="1:37" s="373" customFormat="1" x14ac:dyDescent="0.25">
      <c r="A94" s="365"/>
      <c r="B94" s="365" t="s">
        <v>55</v>
      </c>
      <c r="C94" s="367" t="str">
        <f>VLOOKUP(Table2[[#This Row],[Course Title]],'TSD-Data'!$A$1:$E$56,2,FALSE)</f>
        <v>A-493-0103</v>
      </c>
      <c r="D94" s="367" t="str">
        <f>VLOOKUP(Table2[[#This Row],[Course Title]],'TSD-Data'!$A$1:$E$56,3,FALSE)</f>
        <v>12JY</v>
      </c>
      <c r="E94" s="365" t="s">
        <v>205</v>
      </c>
      <c r="F94" s="375">
        <v>45663</v>
      </c>
      <c r="G94" s="375">
        <v>45667</v>
      </c>
      <c r="H94" s="370">
        <v>0.33333333333333331</v>
      </c>
      <c r="I94" s="369"/>
      <c r="J94" s="369"/>
      <c r="K94" s="369"/>
      <c r="L94" s="369"/>
      <c r="M94" s="369"/>
      <c r="N94" s="369"/>
      <c r="O94" s="365" t="s">
        <v>314</v>
      </c>
      <c r="P94" s="365"/>
      <c r="Q94" s="365"/>
      <c r="R94" s="372">
        <f>VLOOKUP(Table2[[#This Row],[Course Title]],'TSD-Data'!$A$1:$E$56,4,FALSE)</f>
        <v>25</v>
      </c>
      <c r="S94" s="372">
        <f>VLOOKUP(Table2[[#This Row],[Course Title]],'TSD-Data'!$A$1:$F$53,6,FALSE)</f>
        <v>40</v>
      </c>
      <c r="T94" s="372">
        <f>VLOOKUP(Table2[[#This Row],[Course Title]],'TSD-Data'!$A$1:$E$56,5,FALSE)</f>
        <v>5</v>
      </c>
      <c r="U94" s="369">
        <v>155</v>
      </c>
      <c r="V94" s="369">
        <f>Table2[[#This Row],[Quotas]]-Table2[[#This Row],[Open Quotas]]</f>
        <v>11</v>
      </c>
      <c r="W94" s="369">
        <v>0</v>
      </c>
      <c r="X94" s="369">
        <v>8</v>
      </c>
      <c r="Y94" s="369">
        <v>0</v>
      </c>
      <c r="Z94" s="369">
        <v>4</v>
      </c>
      <c r="AA94" s="369">
        <v>1</v>
      </c>
      <c r="AB94" s="369">
        <v>0</v>
      </c>
      <c r="AC94" s="369" t="s">
        <v>291</v>
      </c>
      <c r="AD94" s="369">
        <v>-33</v>
      </c>
      <c r="AE94" s="369">
        <v>0</v>
      </c>
      <c r="AF94" s="369">
        <v>0</v>
      </c>
      <c r="AG94" s="369">
        <v>1</v>
      </c>
      <c r="AH94" s="369">
        <v>0</v>
      </c>
      <c r="AI94" s="369">
        <v>40</v>
      </c>
      <c r="AJ94" s="369">
        <v>14</v>
      </c>
      <c r="AK94" s="369">
        <v>2</v>
      </c>
    </row>
    <row r="95" spans="1:37" s="373" customFormat="1" x14ac:dyDescent="0.25">
      <c r="A95" s="365"/>
      <c r="B95" s="365" t="s">
        <v>55</v>
      </c>
      <c r="C95" s="367" t="str">
        <f>VLOOKUP(Table2[[#This Row],[Course Title]],'TSD-Data'!$A$1:$E$56,2,FALSE)</f>
        <v>A-493-0103</v>
      </c>
      <c r="D95" s="367" t="str">
        <f>VLOOKUP(Table2[[#This Row],[Course Title]],'TSD-Data'!$A$1:$E$56,3,FALSE)</f>
        <v>12JY</v>
      </c>
      <c r="E95" s="365" t="s">
        <v>198</v>
      </c>
      <c r="F95" s="375">
        <v>45663</v>
      </c>
      <c r="G95" s="375">
        <v>45667</v>
      </c>
      <c r="H95" s="370">
        <v>0.33333333333333331</v>
      </c>
      <c r="I95" s="369"/>
      <c r="J95" s="369"/>
      <c r="K95" s="369"/>
      <c r="L95" s="369"/>
      <c r="M95" s="369"/>
      <c r="N95" s="376"/>
      <c r="O95" s="365" t="s">
        <v>314</v>
      </c>
      <c r="P95" s="365"/>
      <c r="Q95" s="365"/>
      <c r="R95" s="372">
        <f>VLOOKUP(Table2[[#This Row],[Course Title]],'TSD-Data'!$A$1:$E$56,4,FALSE)</f>
        <v>25</v>
      </c>
      <c r="S95" s="372">
        <f>VLOOKUP(Table2[[#This Row],[Course Title]],'TSD-Data'!$A$1:$F$53,6,FALSE)</f>
        <v>40</v>
      </c>
      <c r="T95" s="372">
        <f>VLOOKUP(Table2[[#This Row],[Course Title]],'TSD-Data'!$A$1:$E$56,5,FALSE)</f>
        <v>5</v>
      </c>
      <c r="U95" s="369">
        <v>332</v>
      </c>
      <c r="V95" s="369">
        <f>Table2[[#This Row],[Quotas]]-Table2[[#This Row],[Open Quotas]]</f>
        <v>28</v>
      </c>
      <c r="W95" s="369">
        <v>3</v>
      </c>
      <c r="X95" s="369">
        <v>23</v>
      </c>
      <c r="Y95" s="369">
        <v>0</v>
      </c>
      <c r="Z95" s="369">
        <v>2</v>
      </c>
      <c r="AA95" s="369">
        <v>0</v>
      </c>
      <c r="AB95" s="369">
        <v>0</v>
      </c>
      <c r="AC95" s="369" t="s">
        <v>291</v>
      </c>
      <c r="AD95" s="369">
        <v>-33</v>
      </c>
      <c r="AE95" s="369">
        <v>0</v>
      </c>
      <c r="AF95" s="369">
        <v>0</v>
      </c>
      <c r="AG95" s="369">
        <v>1</v>
      </c>
      <c r="AH95" s="369">
        <v>0</v>
      </c>
      <c r="AI95" s="369">
        <v>40</v>
      </c>
      <c r="AJ95" s="369">
        <v>-3</v>
      </c>
      <c r="AK95" s="369">
        <v>2</v>
      </c>
    </row>
    <row r="96" spans="1:37" s="373" customFormat="1" x14ac:dyDescent="0.25">
      <c r="A96" s="365"/>
      <c r="B96" s="365" t="s">
        <v>17</v>
      </c>
      <c r="C96" s="367" t="str">
        <f>VLOOKUP(Table2[[#This Row],[Course Title]],'TSD-Data'!$A$1:$E$56,2,FALSE)</f>
        <v>A-493-0012</v>
      </c>
      <c r="D96" s="367">
        <f>VLOOKUP(Table2[[#This Row],[Course Title]],'TSD-Data'!$A$1:$E$56,3,FALSE)</f>
        <v>3682</v>
      </c>
      <c r="E96" s="365" t="s">
        <v>177</v>
      </c>
      <c r="F96" s="368">
        <v>45663</v>
      </c>
      <c r="G96" s="368">
        <v>45667</v>
      </c>
      <c r="H96" s="370">
        <v>0.33333333333333331</v>
      </c>
      <c r="I96" s="369"/>
      <c r="J96" s="369"/>
      <c r="K96" s="369"/>
      <c r="L96" s="369"/>
      <c r="M96" s="376"/>
      <c r="N96" s="369"/>
      <c r="O96" s="365" t="s">
        <v>280</v>
      </c>
      <c r="P96" s="365"/>
      <c r="Q96" s="365"/>
      <c r="R96" s="372">
        <f>VLOOKUP(Table2[[#This Row],[Course Title]],'TSD-Data'!$A$1:$E$56,4,FALSE)</f>
        <v>40</v>
      </c>
      <c r="S96" s="372">
        <f>VLOOKUP(Table2[[#This Row],[Course Title]],'TSD-Data'!$A$1:$F$53,6,FALSE)</f>
        <v>40</v>
      </c>
      <c r="T96" s="372">
        <f>VLOOKUP(Table2[[#This Row],[Course Title]],'TSD-Data'!$A$1:$E$56,5,FALSE)</f>
        <v>5</v>
      </c>
      <c r="U96" s="369">
        <v>2</v>
      </c>
      <c r="V96" s="369">
        <f>Table2[[#This Row],[Quotas]]-Table2[[#This Row],[Open Quotas]]</f>
        <v>26</v>
      </c>
      <c r="W96" s="369">
        <v>0</v>
      </c>
      <c r="X96" s="369">
        <v>23</v>
      </c>
      <c r="Y96" s="369">
        <v>0</v>
      </c>
      <c r="Z96" s="369">
        <v>3</v>
      </c>
      <c r="AA96" s="369">
        <v>0</v>
      </c>
      <c r="AB96" s="369">
        <v>23</v>
      </c>
      <c r="AC96" s="369" t="s">
        <v>287</v>
      </c>
      <c r="AD96" s="369">
        <v>-33</v>
      </c>
      <c r="AE96" s="369">
        <v>0</v>
      </c>
      <c r="AF96" s="369">
        <v>0</v>
      </c>
      <c r="AG96" s="369">
        <v>1</v>
      </c>
      <c r="AH96" s="369">
        <v>0</v>
      </c>
      <c r="AI96" s="369">
        <v>40</v>
      </c>
      <c r="AJ96" s="369">
        <v>14</v>
      </c>
      <c r="AK96" s="369">
        <v>2</v>
      </c>
    </row>
    <row r="97" spans="1:37" s="373" customFormat="1" x14ac:dyDescent="0.25">
      <c r="A97" s="365"/>
      <c r="B97" s="366" t="s">
        <v>120</v>
      </c>
      <c r="C97" s="367" t="str">
        <f>VLOOKUP(Table2[[#This Row],[Course Title]],'TSD-Data'!$A$1:$E$56,2,FALSE)</f>
        <v>A-322-2604</v>
      </c>
      <c r="D97" s="367" t="str">
        <f>VLOOKUP(Table2[[#This Row],[Course Title]],'TSD-Data'!$A$1:$E$56,3,FALSE)</f>
        <v>10ZZ</v>
      </c>
      <c r="E97" s="365" t="s">
        <v>86</v>
      </c>
      <c r="F97" s="375">
        <v>45663</v>
      </c>
      <c r="G97" s="375">
        <v>45665</v>
      </c>
      <c r="H97" s="369"/>
      <c r="I97" s="369">
        <v>1200</v>
      </c>
      <c r="J97" s="381">
        <v>0.375</v>
      </c>
      <c r="K97" s="369">
        <v>2000</v>
      </c>
      <c r="L97" s="369">
        <v>1800</v>
      </c>
      <c r="M97" s="370">
        <v>0.29166666666666669</v>
      </c>
      <c r="N97" s="371">
        <v>8.3333333333333329E-2</v>
      </c>
      <c r="O97" s="365" t="s">
        <v>288</v>
      </c>
      <c r="P97" s="365" t="s">
        <v>286</v>
      </c>
      <c r="Q97" s="365"/>
      <c r="R97" s="372">
        <f>VLOOKUP(Table2[[#This Row],[Course Title]],'TSD-Data'!$A$1:$E$56,4,FALSE)</f>
        <v>45</v>
      </c>
      <c r="S97" s="372">
        <f>VLOOKUP(Table2[[#This Row],[Course Title]],'TSD-Data'!$A$1:$F$53,6,FALSE)</f>
        <v>24</v>
      </c>
      <c r="T97" s="372">
        <f>VLOOKUP(Table2[[#This Row],[Course Title]],'TSD-Data'!$A$1:$E$56,5,FALSE)</f>
        <v>3</v>
      </c>
      <c r="U97" s="369">
        <v>634</v>
      </c>
      <c r="V97" s="369">
        <f>Table2[[#This Row],[Quotas]]-Table2[[#This Row],[Open Quotas]]</f>
        <v>43</v>
      </c>
      <c r="W97" s="369">
        <v>3</v>
      </c>
      <c r="X97" s="369">
        <v>38</v>
      </c>
      <c r="Y97" s="369">
        <v>0</v>
      </c>
      <c r="Z97" s="369">
        <v>6</v>
      </c>
      <c r="AA97" s="369">
        <v>0</v>
      </c>
      <c r="AB97" s="369">
        <v>0</v>
      </c>
      <c r="AC97" s="369" t="s">
        <v>281</v>
      </c>
      <c r="AD97" s="369">
        <v>-35</v>
      </c>
      <c r="AE97" s="369">
        <v>0</v>
      </c>
      <c r="AF97" s="369">
        <v>0</v>
      </c>
      <c r="AG97" s="369">
        <v>1</v>
      </c>
      <c r="AH97" s="369">
        <v>1</v>
      </c>
      <c r="AI97" s="369">
        <v>12</v>
      </c>
      <c r="AJ97" s="369">
        <v>2</v>
      </c>
      <c r="AK97" s="369">
        <v>2</v>
      </c>
    </row>
    <row r="98" spans="1:37" s="373" customFormat="1" x14ac:dyDescent="0.25">
      <c r="A98" s="365"/>
      <c r="B98" s="365" t="s">
        <v>51</v>
      </c>
      <c r="C98" s="367" t="str">
        <f>VLOOKUP(Table2[[#This Row],[Course Title]],'TSD-Data'!$A$1:$E$56,2,FALSE)</f>
        <v>A-493-0335</v>
      </c>
      <c r="D98" s="367" t="str">
        <f>VLOOKUP(Table2[[#This Row],[Course Title]],'TSD-Data'!$A$1:$E$56,3,FALSE)</f>
        <v>09ND</v>
      </c>
      <c r="E98" s="365" t="s">
        <v>86</v>
      </c>
      <c r="F98" s="368">
        <v>45663</v>
      </c>
      <c r="G98" s="368">
        <v>45666</v>
      </c>
      <c r="H98" s="369"/>
      <c r="I98" s="369">
        <v>1200</v>
      </c>
      <c r="J98" s="381">
        <v>0.375</v>
      </c>
      <c r="K98" s="369">
        <v>2000</v>
      </c>
      <c r="L98" s="369">
        <v>1800</v>
      </c>
      <c r="M98" s="370">
        <v>0.29166666666666669</v>
      </c>
      <c r="N98" s="371">
        <v>8.3333333333333329E-2</v>
      </c>
      <c r="O98" s="365" t="s">
        <v>315</v>
      </c>
      <c r="P98" s="365"/>
      <c r="Q98" s="365"/>
      <c r="R98" s="372">
        <f>VLOOKUP(Table2[[#This Row],[Course Title]],'TSD-Data'!$A$1:$E$56,4,FALSE)</f>
        <v>45</v>
      </c>
      <c r="S98" s="372">
        <f>VLOOKUP(Table2[[#This Row],[Course Title]],'TSD-Data'!$A$1:$F$53,6,FALSE)</f>
        <v>32</v>
      </c>
      <c r="T98" s="372">
        <f>VLOOKUP(Table2[[#This Row],[Course Title]],'TSD-Data'!$A$1:$E$56,5,FALSE)</f>
        <v>4</v>
      </c>
      <c r="U98" s="369">
        <v>400</v>
      </c>
      <c r="V98" s="369">
        <f>Table2[[#This Row],[Quotas]]-Table2[[#This Row],[Open Quotas]]</f>
        <v>20</v>
      </c>
      <c r="W98" s="369">
        <v>0</v>
      </c>
      <c r="X98" s="369">
        <v>18</v>
      </c>
      <c r="Y98" s="369">
        <v>0</v>
      </c>
      <c r="Z98" s="369">
        <v>2</v>
      </c>
      <c r="AA98" s="369">
        <v>0</v>
      </c>
      <c r="AB98" s="369">
        <v>0</v>
      </c>
      <c r="AC98" s="369" t="s">
        <v>281</v>
      </c>
      <c r="AD98" s="369">
        <v>-34</v>
      </c>
      <c r="AE98" s="369">
        <v>0</v>
      </c>
      <c r="AF98" s="369">
        <v>0</v>
      </c>
      <c r="AG98" s="369">
        <v>1</v>
      </c>
      <c r="AH98" s="369">
        <v>0</v>
      </c>
      <c r="AI98" s="369">
        <v>32</v>
      </c>
      <c r="AJ98" s="369">
        <v>25</v>
      </c>
      <c r="AK98" s="369">
        <v>2</v>
      </c>
    </row>
    <row r="99" spans="1:37" s="373" customFormat="1" x14ac:dyDescent="0.25">
      <c r="A99" s="366"/>
      <c r="B99" s="366" t="s">
        <v>39</v>
      </c>
      <c r="C99" s="374" t="str">
        <f>VLOOKUP(Table2[[#This Row],[Course Title]],'TSD-Data'!$A$1:$E$56,2,FALSE)</f>
        <v>A-570-0100</v>
      </c>
      <c r="D99" s="374" t="str">
        <f>VLOOKUP(Table2[[#This Row],[Course Title]],'TSD-Data'!$A$1:$E$56,3,FALSE)</f>
        <v>18B7</v>
      </c>
      <c r="E99" s="366" t="s">
        <v>86</v>
      </c>
      <c r="F99" s="383">
        <v>45663</v>
      </c>
      <c r="G99" s="383">
        <v>45664</v>
      </c>
      <c r="H99" s="376"/>
      <c r="I99" s="376">
        <v>1200</v>
      </c>
      <c r="J99" s="380">
        <v>0.375</v>
      </c>
      <c r="K99" s="376">
        <v>2000</v>
      </c>
      <c r="L99" s="376">
        <v>1800</v>
      </c>
      <c r="M99" s="377">
        <v>0.29166666666666669</v>
      </c>
      <c r="N99" s="371">
        <v>8.3333333333333329E-2</v>
      </c>
      <c r="O99" s="366" t="s">
        <v>272</v>
      </c>
      <c r="P99" s="366"/>
      <c r="Q99" s="365"/>
      <c r="R99" s="378">
        <f>VLOOKUP(Table2[[#This Row],[Course Title]],'TSD-Data'!$A$1:$E$56,4,FALSE)</f>
        <v>45</v>
      </c>
      <c r="S99" s="378">
        <f>VLOOKUP(Table2[[#This Row],[Course Title]],'TSD-Data'!$A$1:$F$53,6,FALSE)</f>
        <v>16</v>
      </c>
      <c r="T99" s="378">
        <f>VLOOKUP(Table2[[#This Row],[Course Title]],'TSD-Data'!$A$1:$E$56,5,FALSE)</f>
        <v>2</v>
      </c>
      <c r="U99" s="376">
        <v>621</v>
      </c>
      <c r="V99" s="376">
        <f>Table2[[#This Row],[Quotas]]-Table2[[#This Row],[Open Quotas]]</f>
        <v>21</v>
      </c>
      <c r="W99" s="376">
        <v>0</v>
      </c>
      <c r="X99" s="376">
        <v>18</v>
      </c>
      <c r="Y99" s="376">
        <v>0</v>
      </c>
      <c r="Z99" s="376">
        <v>3</v>
      </c>
      <c r="AA99" s="376">
        <v>0</v>
      </c>
      <c r="AB99" s="376">
        <v>0</v>
      </c>
      <c r="AC99" s="376" t="s">
        <v>287</v>
      </c>
      <c r="AD99" s="376">
        <v>-36</v>
      </c>
      <c r="AE99" s="376">
        <v>0</v>
      </c>
      <c r="AF99" s="376">
        <v>0</v>
      </c>
      <c r="AG99" s="376">
        <v>1</v>
      </c>
      <c r="AH99" s="376">
        <v>0</v>
      </c>
      <c r="AI99" s="376">
        <v>16</v>
      </c>
      <c r="AJ99" s="376">
        <v>24</v>
      </c>
      <c r="AK99" s="376">
        <v>2</v>
      </c>
    </row>
    <row r="100" spans="1:37" s="373" customFormat="1" x14ac:dyDescent="0.25">
      <c r="A100" s="366"/>
      <c r="B100" s="366" t="s">
        <v>53</v>
      </c>
      <c r="C100" s="374" t="str">
        <f>VLOOKUP(Table2[[#This Row],[Course Title]],'TSD-Data'!$A$1:$E$56,2,FALSE)</f>
        <v>A-493-0072</v>
      </c>
      <c r="D100" s="374" t="str">
        <f>VLOOKUP(Table2[[#This Row],[Course Title]],'TSD-Data'!$A$1:$E$56,3,FALSE)</f>
        <v>713U</v>
      </c>
      <c r="E100" s="366" t="s">
        <v>205</v>
      </c>
      <c r="F100" s="375">
        <v>45663</v>
      </c>
      <c r="G100" s="375">
        <v>45301</v>
      </c>
      <c r="H100" s="377">
        <v>0.33333333333333331</v>
      </c>
      <c r="I100" s="376"/>
      <c r="J100" s="376"/>
      <c r="K100" s="376"/>
      <c r="L100" s="376"/>
      <c r="M100" s="376"/>
      <c r="N100" s="376"/>
      <c r="O100" s="366" t="s">
        <v>316</v>
      </c>
      <c r="P100" s="366" t="s">
        <v>274</v>
      </c>
      <c r="Q100" s="365"/>
      <c r="R100" s="378">
        <f>VLOOKUP(Table2[[#This Row],[Course Title]],'TSD-Data'!$A$1:$E$56,4,FALSE)</f>
        <v>30</v>
      </c>
      <c r="S100" s="378">
        <f>VLOOKUP(Table2[[#This Row],[Course Title]],'TSD-Data'!$A$1:$F$53,6,FALSE)</f>
        <v>40</v>
      </c>
      <c r="T100" s="378">
        <f>VLOOKUP(Table2[[#This Row],[Course Title]],'TSD-Data'!$A$1:$E$56,5,FALSE)</f>
        <v>5</v>
      </c>
      <c r="U100" s="376">
        <v>152</v>
      </c>
      <c r="V100" s="376">
        <f>Table2[[#This Row],[Quotas]]-Table2[[#This Row],[Open Quotas]]</f>
        <v>12</v>
      </c>
      <c r="W100" s="376">
        <v>0</v>
      </c>
      <c r="X100" s="376">
        <v>12</v>
      </c>
      <c r="Y100" s="376">
        <v>0</v>
      </c>
      <c r="Z100" s="376">
        <v>1</v>
      </c>
      <c r="AA100" s="376">
        <v>2</v>
      </c>
      <c r="AB100" s="376">
        <v>0</v>
      </c>
      <c r="AC100" s="376" t="s">
        <v>281</v>
      </c>
      <c r="AD100" s="376">
        <v>-399</v>
      </c>
      <c r="AE100" s="376">
        <v>0</v>
      </c>
      <c r="AF100" s="376">
        <v>0</v>
      </c>
      <c r="AG100" s="376">
        <v>1</v>
      </c>
      <c r="AH100" s="376">
        <v>1</v>
      </c>
      <c r="AI100" s="376">
        <v>20</v>
      </c>
      <c r="AJ100" s="376">
        <v>18</v>
      </c>
      <c r="AK100" s="376">
        <v>2</v>
      </c>
    </row>
    <row r="101" spans="1:37" s="373" customFormat="1" x14ac:dyDescent="0.25">
      <c r="A101" s="365"/>
      <c r="B101" s="365" t="s">
        <v>50</v>
      </c>
      <c r="C101" s="367" t="str">
        <f>VLOOKUP(Table2[[#This Row],[Course Title]],'TSD-Data'!$A$1:$E$56,2,FALSE)</f>
        <v>A-493-0331</v>
      </c>
      <c r="D101" s="367" t="str">
        <f>VLOOKUP(Table2[[#This Row],[Course Title]],'TSD-Data'!$A$1:$E$56,3,FALSE)</f>
        <v>10UG</v>
      </c>
      <c r="E101" s="366" t="s">
        <v>86</v>
      </c>
      <c r="F101" s="368">
        <v>45664</v>
      </c>
      <c r="G101" s="368">
        <v>45666</v>
      </c>
      <c r="H101" s="369"/>
      <c r="I101" s="369">
        <v>1200</v>
      </c>
      <c r="J101" s="381">
        <v>0.375</v>
      </c>
      <c r="K101" s="369">
        <v>2000</v>
      </c>
      <c r="L101" s="369">
        <v>1800</v>
      </c>
      <c r="M101" s="370">
        <v>0.29166666666666669</v>
      </c>
      <c r="N101" s="371">
        <v>8.3333333333333329E-2</v>
      </c>
      <c r="O101" s="365" t="s">
        <v>318</v>
      </c>
      <c r="P101" s="365"/>
      <c r="Q101" s="365"/>
      <c r="R101" s="372">
        <f>VLOOKUP(Table2[[#This Row],[Course Title]],'TSD-Data'!$A$1:$E$56,4,FALSE)</f>
        <v>45</v>
      </c>
      <c r="S101" s="372">
        <f>VLOOKUP(Table2[[#This Row],[Course Title]],'TSD-Data'!$A$1:$F$53,6,FALSE)</f>
        <v>24</v>
      </c>
      <c r="T101" s="372">
        <f>VLOOKUP(Table2[[#This Row],[Course Title]],'TSD-Data'!$A$1:$E$56,5,FALSE)</f>
        <v>3</v>
      </c>
      <c r="U101" s="369">
        <v>805</v>
      </c>
      <c r="V101" s="369">
        <f>Table2[[#This Row],[Quotas]]-Table2[[#This Row],[Open Quotas]]</f>
        <v>45</v>
      </c>
      <c r="W101" s="369">
        <v>4</v>
      </c>
      <c r="X101" s="369">
        <v>41</v>
      </c>
      <c r="Y101" s="369">
        <v>0</v>
      </c>
      <c r="Z101" s="369">
        <v>7</v>
      </c>
      <c r="AA101" s="369">
        <v>5</v>
      </c>
      <c r="AB101" s="369">
        <v>0</v>
      </c>
      <c r="AC101" s="369" t="s">
        <v>281</v>
      </c>
      <c r="AD101" s="369">
        <v>-34</v>
      </c>
      <c r="AE101" s="369">
        <v>0</v>
      </c>
      <c r="AF101" s="369">
        <v>0</v>
      </c>
      <c r="AG101" s="369">
        <v>1</v>
      </c>
      <c r="AH101" s="369">
        <v>0</v>
      </c>
      <c r="AI101" s="369">
        <v>24</v>
      </c>
      <c r="AJ101" s="369">
        <v>0</v>
      </c>
      <c r="AK101" s="369">
        <v>2</v>
      </c>
    </row>
    <row r="102" spans="1:37" s="373" customFormat="1" x14ac:dyDescent="0.25">
      <c r="A102" s="365" t="s">
        <v>530</v>
      </c>
      <c r="B102" s="366" t="s">
        <v>223</v>
      </c>
      <c r="C102" s="367" t="str">
        <f>VLOOKUP(Table2[[#This Row],[Course Title]],'TSD-Data'!$A$1:$E$56,2,FALSE)</f>
        <v>Holiday</v>
      </c>
      <c r="D102" s="367" t="str">
        <f>VLOOKUP(Table2[[#This Row],[Course Title]],'TSD-Data'!$A$1:$E$56,3,FALSE)</f>
        <v>Holiday</v>
      </c>
      <c r="E102" s="366" t="s">
        <v>223</v>
      </c>
      <c r="F102" s="368">
        <v>45666</v>
      </c>
      <c r="G102" s="368">
        <v>45666</v>
      </c>
      <c r="H102" s="369"/>
      <c r="I102" s="369"/>
      <c r="J102" s="369"/>
      <c r="K102" s="369"/>
      <c r="L102" s="369"/>
      <c r="M102" s="369"/>
      <c r="N102" s="369"/>
      <c r="O102" s="365"/>
      <c r="P102" s="365"/>
      <c r="Q102" s="365"/>
      <c r="R102" s="372">
        <f>VLOOKUP(Table2[[#This Row],[Course Title]],'TSD-Data'!$A$1:$E$56,4,FALSE)</f>
        <v>0</v>
      </c>
      <c r="S102" s="372">
        <f>VLOOKUP(Table2[[#This Row],[Course Title]],'TSD-Data'!$A$1:$F$53,6,FALSE)</f>
        <v>0</v>
      </c>
      <c r="T102" s="372">
        <f>VLOOKUP(Table2[[#This Row],[Course Title]],'TSD-Data'!$A$1:$E$56,5,FALSE)</f>
        <v>0</v>
      </c>
      <c r="U102" s="369">
        <v>0</v>
      </c>
      <c r="V102" s="369">
        <f>Table2[[#This Row],[Quotas]]-Table2[[#This Row],[Open Quotas]]</f>
        <v>0</v>
      </c>
      <c r="W102" s="369">
        <v>0</v>
      </c>
      <c r="X102" s="369">
        <v>0</v>
      </c>
      <c r="Y102" s="369">
        <v>0</v>
      </c>
      <c r="Z102" s="369">
        <v>0</v>
      </c>
      <c r="AA102" s="369">
        <v>0</v>
      </c>
      <c r="AB102" s="369">
        <v>0</v>
      </c>
      <c r="AC102" s="369" t="s">
        <v>285</v>
      </c>
      <c r="AD102" s="369">
        <v>-34</v>
      </c>
      <c r="AE102" s="369">
        <v>0</v>
      </c>
      <c r="AF102" s="369">
        <v>0</v>
      </c>
      <c r="AG102" s="369">
        <v>0</v>
      </c>
      <c r="AH102" s="369">
        <v>0</v>
      </c>
      <c r="AI102" s="369" t="e">
        <v>#DIV/0!</v>
      </c>
      <c r="AJ102" s="369">
        <v>0</v>
      </c>
      <c r="AK102" s="369">
        <v>2</v>
      </c>
    </row>
    <row r="103" spans="1:37" s="373" customFormat="1" x14ac:dyDescent="0.25">
      <c r="A103" s="365"/>
      <c r="B103" s="365" t="s">
        <v>37</v>
      </c>
      <c r="C103" s="367" t="str">
        <f>VLOOKUP(Table2[[#This Row],[Course Title]],'TSD-Data'!$A$1:$E$56,2,FALSE)</f>
        <v>A-493-0665</v>
      </c>
      <c r="D103" s="367" t="str">
        <f>VLOOKUP(Table2[[#This Row],[Course Title]],'TSD-Data'!$A$1:$E$56,3,FALSE)</f>
        <v>10KW</v>
      </c>
      <c r="E103" s="386" t="s">
        <v>86</v>
      </c>
      <c r="F103" s="387">
        <v>45670</v>
      </c>
      <c r="G103" s="387">
        <v>45672</v>
      </c>
      <c r="H103" s="388"/>
      <c r="I103" s="388">
        <v>1200</v>
      </c>
      <c r="J103" s="381">
        <v>0.375</v>
      </c>
      <c r="K103" s="388">
        <v>2000</v>
      </c>
      <c r="L103" s="388">
        <v>1800</v>
      </c>
      <c r="M103" s="370">
        <v>0.29166666666666669</v>
      </c>
      <c r="N103" s="371">
        <v>8.3333333333333329E-2</v>
      </c>
      <c r="O103" s="386" t="s">
        <v>286</v>
      </c>
      <c r="P103" s="365"/>
      <c r="Q103" s="365"/>
      <c r="R103" s="372">
        <f>VLOOKUP(Table2[[#This Row],[Course Title]],'TSD-Data'!$A$1:$E$56,4,FALSE)</f>
        <v>45</v>
      </c>
      <c r="S103" s="372">
        <f>VLOOKUP(Table2[[#This Row],[Course Title]],'TSD-Data'!$A$1:$F$53,6,FALSE)</f>
        <v>24</v>
      </c>
      <c r="T103" s="372">
        <f>VLOOKUP(Table2[[#This Row],[Course Title]],'TSD-Data'!$A$1:$E$56,5,FALSE)</f>
        <v>3</v>
      </c>
      <c r="U103" s="369">
        <v>405</v>
      </c>
      <c r="V103" s="369">
        <f>Table2[[#This Row],[Quotas]]-Table2[[#This Row],[Open Quotas]]</f>
        <v>29</v>
      </c>
      <c r="W103" s="369">
        <v>0</v>
      </c>
      <c r="X103" s="369">
        <v>27</v>
      </c>
      <c r="Y103" s="369">
        <v>0</v>
      </c>
      <c r="Z103" s="369">
        <v>4</v>
      </c>
      <c r="AA103" s="369">
        <v>0</v>
      </c>
      <c r="AB103" s="369">
        <v>0</v>
      </c>
      <c r="AC103" s="369" t="s">
        <v>287</v>
      </c>
      <c r="AD103" s="369">
        <v>-28</v>
      </c>
      <c r="AE103" s="369">
        <v>0</v>
      </c>
      <c r="AF103" s="369">
        <v>0</v>
      </c>
      <c r="AG103" s="369">
        <v>1</v>
      </c>
      <c r="AH103" s="369">
        <v>0</v>
      </c>
      <c r="AI103" s="369">
        <v>24</v>
      </c>
      <c r="AJ103" s="369">
        <v>16</v>
      </c>
      <c r="AK103" s="369">
        <v>2</v>
      </c>
    </row>
    <row r="104" spans="1:37" s="373" customFormat="1" x14ac:dyDescent="0.25">
      <c r="A104" s="365"/>
      <c r="B104" s="365" t="s">
        <v>55</v>
      </c>
      <c r="C104" s="367" t="str">
        <f>VLOOKUP(Table2[[#This Row],[Course Title]],'TSD-Data'!$A$1:$E$56,2,FALSE)</f>
        <v>A-493-0103</v>
      </c>
      <c r="D104" s="367" t="str">
        <f>VLOOKUP(Table2[[#This Row],[Course Title]],'TSD-Data'!$A$1:$E$56,3,FALSE)</f>
        <v>12JY</v>
      </c>
      <c r="E104" s="365" t="s">
        <v>198</v>
      </c>
      <c r="F104" s="375">
        <v>45670</v>
      </c>
      <c r="G104" s="375">
        <v>45674</v>
      </c>
      <c r="H104" s="370">
        <v>0.33333333333333331</v>
      </c>
      <c r="I104" s="369"/>
      <c r="J104" s="369"/>
      <c r="K104" s="369"/>
      <c r="L104" s="369"/>
      <c r="M104" s="369"/>
      <c r="N104" s="369"/>
      <c r="O104" s="365" t="s">
        <v>314</v>
      </c>
      <c r="P104" s="365"/>
      <c r="Q104" s="365"/>
      <c r="R104" s="372">
        <f>VLOOKUP(Table2[[#This Row],[Course Title]],'TSD-Data'!$A$1:$E$56,4,FALSE)</f>
        <v>25</v>
      </c>
      <c r="S104" s="372">
        <f>VLOOKUP(Table2[[#This Row],[Course Title]],'TSD-Data'!$A$1:$F$53,6,FALSE)</f>
        <v>40</v>
      </c>
      <c r="T104" s="372">
        <f>VLOOKUP(Table2[[#This Row],[Course Title]],'TSD-Data'!$A$1:$E$56,5,FALSE)</f>
        <v>5</v>
      </c>
      <c r="U104" s="369">
        <v>332</v>
      </c>
      <c r="V104" s="369">
        <f>Table2[[#This Row],[Quotas]]-Table2[[#This Row],[Open Quotas]]</f>
        <v>29</v>
      </c>
      <c r="W104" s="369">
        <v>4</v>
      </c>
      <c r="X104" s="369">
        <v>23</v>
      </c>
      <c r="Y104" s="369">
        <v>0</v>
      </c>
      <c r="Z104" s="369">
        <v>4</v>
      </c>
      <c r="AA104" s="369">
        <v>0</v>
      </c>
      <c r="AB104" s="369">
        <v>0</v>
      </c>
      <c r="AC104" s="369" t="s">
        <v>291</v>
      </c>
      <c r="AD104" s="369">
        <v>-26</v>
      </c>
      <c r="AE104" s="369">
        <v>0</v>
      </c>
      <c r="AF104" s="369">
        <v>0</v>
      </c>
      <c r="AG104" s="369">
        <v>1</v>
      </c>
      <c r="AH104" s="369">
        <v>0</v>
      </c>
      <c r="AI104" s="369">
        <v>40</v>
      </c>
      <c r="AJ104" s="369">
        <v>-4</v>
      </c>
      <c r="AK104" s="369">
        <v>2</v>
      </c>
    </row>
    <row r="105" spans="1:37" s="373" customFormat="1" x14ac:dyDescent="0.25">
      <c r="A105" s="365"/>
      <c r="B105" s="365" t="s">
        <v>55</v>
      </c>
      <c r="C105" s="367" t="str">
        <f>VLOOKUP(Table2[[#This Row],[Course Title]],'TSD-Data'!$A$1:$E$56,2,FALSE)</f>
        <v>A-493-0103</v>
      </c>
      <c r="D105" s="367" t="str">
        <f>VLOOKUP(Table2[[#This Row],[Course Title]],'TSD-Data'!$A$1:$E$56,3,FALSE)</f>
        <v>12JY</v>
      </c>
      <c r="E105" s="365" t="s">
        <v>205</v>
      </c>
      <c r="F105" s="375">
        <v>45670</v>
      </c>
      <c r="G105" s="375">
        <v>45674</v>
      </c>
      <c r="H105" s="370">
        <v>0.33333333333333331</v>
      </c>
      <c r="I105" s="369"/>
      <c r="J105" s="369"/>
      <c r="K105" s="369"/>
      <c r="L105" s="369"/>
      <c r="M105" s="376"/>
      <c r="N105" s="369"/>
      <c r="O105" s="365" t="s">
        <v>314</v>
      </c>
      <c r="P105" s="365"/>
      <c r="Q105" s="365"/>
      <c r="R105" s="372">
        <f>VLOOKUP(Table2[[#This Row],[Course Title]],'TSD-Data'!$A$1:$E$56,4,FALSE)</f>
        <v>25</v>
      </c>
      <c r="S105" s="372">
        <f>VLOOKUP(Table2[[#This Row],[Course Title]],'TSD-Data'!$A$1:$F$53,6,FALSE)</f>
        <v>40</v>
      </c>
      <c r="T105" s="372">
        <f>VLOOKUP(Table2[[#This Row],[Course Title]],'TSD-Data'!$A$1:$E$56,5,FALSE)</f>
        <v>5</v>
      </c>
      <c r="U105" s="369">
        <v>155</v>
      </c>
      <c r="V105" s="369">
        <f>Table2[[#This Row],[Quotas]]-Table2[[#This Row],[Open Quotas]]</f>
        <v>8</v>
      </c>
      <c r="W105" s="369">
        <v>0</v>
      </c>
      <c r="X105" s="369">
        <v>7</v>
      </c>
      <c r="Y105" s="369">
        <v>0</v>
      </c>
      <c r="Z105" s="369">
        <v>1</v>
      </c>
      <c r="AA105" s="369">
        <v>0</v>
      </c>
      <c r="AB105" s="369">
        <v>0</v>
      </c>
      <c r="AC105" s="369" t="s">
        <v>291</v>
      </c>
      <c r="AD105" s="369">
        <v>-26</v>
      </c>
      <c r="AE105" s="369">
        <v>0</v>
      </c>
      <c r="AF105" s="369">
        <v>0</v>
      </c>
      <c r="AG105" s="369">
        <v>1</v>
      </c>
      <c r="AH105" s="369">
        <v>0</v>
      </c>
      <c r="AI105" s="369">
        <v>40</v>
      </c>
      <c r="AJ105" s="369">
        <v>17</v>
      </c>
      <c r="AK105" s="369">
        <v>2</v>
      </c>
    </row>
    <row r="106" spans="1:37" s="373" customFormat="1" x14ac:dyDescent="0.25">
      <c r="A106" s="365"/>
      <c r="B106" s="365" t="s">
        <v>47</v>
      </c>
      <c r="C106" s="367" t="str">
        <f>VLOOKUP(Table2[[#This Row],[Course Title]],'TSD-Data'!$A$1:$E$56,2,FALSE)</f>
        <v>A-493-0030</v>
      </c>
      <c r="D106" s="367" t="str">
        <f>VLOOKUP(Table2[[#This Row],[Course Title]],'TSD-Data'!$A$1:$E$56,3,FALSE)</f>
        <v>286X</v>
      </c>
      <c r="E106" s="366" t="s">
        <v>170</v>
      </c>
      <c r="F106" s="375">
        <v>45670</v>
      </c>
      <c r="G106" s="375">
        <v>45674</v>
      </c>
      <c r="H106" s="377">
        <v>0.33333333333333331</v>
      </c>
      <c r="I106" s="376"/>
      <c r="J106" s="376"/>
      <c r="K106" s="369"/>
      <c r="L106" s="369"/>
      <c r="M106" s="376"/>
      <c r="N106" s="376"/>
      <c r="O106" s="366" t="s">
        <v>322</v>
      </c>
      <c r="P106" s="365"/>
      <c r="Q106" s="365"/>
      <c r="R106" s="372">
        <f>VLOOKUP(Table2[[#This Row],[Course Title]],'TSD-Data'!$A$1:$E$56,4,FALSE)</f>
        <v>25</v>
      </c>
      <c r="S106" s="372">
        <f>VLOOKUP(Table2[[#This Row],[Course Title]],'TSD-Data'!$A$1:$F$53,6,FALSE)</f>
        <v>40</v>
      </c>
      <c r="T106" s="372">
        <f>VLOOKUP(Table2[[#This Row],[Course Title]],'TSD-Data'!$A$1:$E$56,5,FALSE)</f>
        <v>5</v>
      </c>
      <c r="U106" s="369">
        <v>17</v>
      </c>
      <c r="V106" s="369">
        <f>Table2[[#This Row],[Quotas]]-Table2[[#This Row],[Open Quotas]]</f>
        <v>20</v>
      </c>
      <c r="W106" s="369">
        <v>0</v>
      </c>
      <c r="X106" s="369">
        <v>17</v>
      </c>
      <c r="Y106" s="369">
        <v>1</v>
      </c>
      <c r="Z106" s="369">
        <v>4</v>
      </c>
      <c r="AA106" s="369">
        <v>0</v>
      </c>
      <c r="AB106" s="369">
        <v>0</v>
      </c>
      <c r="AC106" s="369" t="s">
        <v>281</v>
      </c>
      <c r="AD106" s="369">
        <v>-26</v>
      </c>
      <c r="AE106" s="369">
        <v>0</v>
      </c>
      <c r="AF106" s="369">
        <v>0</v>
      </c>
      <c r="AG106" s="369">
        <v>1</v>
      </c>
      <c r="AH106" s="369">
        <v>0</v>
      </c>
      <c r="AI106" s="369">
        <v>40</v>
      </c>
      <c r="AJ106" s="369">
        <v>5</v>
      </c>
      <c r="AK106" s="369">
        <v>2</v>
      </c>
    </row>
    <row r="107" spans="1:37" s="373" customFormat="1" x14ac:dyDescent="0.25">
      <c r="A107" s="365"/>
      <c r="B107" s="365" t="s">
        <v>17</v>
      </c>
      <c r="C107" s="367" t="str">
        <f>VLOOKUP(Table2[[#This Row],[Course Title]],'TSD-Data'!$A$1:$E$56,2,FALSE)</f>
        <v>A-493-0012</v>
      </c>
      <c r="D107" s="367">
        <f>VLOOKUP(Table2[[#This Row],[Course Title]],'TSD-Data'!$A$1:$E$56,3,FALSE)</f>
        <v>3682</v>
      </c>
      <c r="E107" s="365" t="s">
        <v>205</v>
      </c>
      <c r="F107" s="368">
        <v>45670</v>
      </c>
      <c r="G107" s="368">
        <v>45674</v>
      </c>
      <c r="H107" s="370">
        <v>0.33333333333333331</v>
      </c>
      <c r="I107" s="369"/>
      <c r="J107" s="376"/>
      <c r="K107" s="369"/>
      <c r="L107" s="369"/>
      <c r="M107" s="369"/>
      <c r="N107" s="369"/>
      <c r="O107" s="365" t="s">
        <v>280</v>
      </c>
      <c r="P107" s="365"/>
      <c r="Q107" s="365"/>
      <c r="R107" s="372">
        <f>VLOOKUP(Table2[[#This Row],[Course Title]],'TSD-Data'!$A$1:$E$56,4,FALSE)</f>
        <v>40</v>
      </c>
      <c r="S107" s="372">
        <f>VLOOKUP(Table2[[#This Row],[Course Title]],'TSD-Data'!$A$1:$F$53,6,FALSE)</f>
        <v>40</v>
      </c>
      <c r="T107" s="372">
        <f>VLOOKUP(Table2[[#This Row],[Course Title]],'TSD-Data'!$A$1:$E$56,5,FALSE)</f>
        <v>5</v>
      </c>
      <c r="U107" s="369">
        <v>27</v>
      </c>
      <c r="V107" s="369">
        <f>Table2[[#This Row],[Quotas]]-Table2[[#This Row],[Open Quotas]]</f>
        <v>39</v>
      </c>
      <c r="W107" s="369">
        <v>0</v>
      </c>
      <c r="X107" s="369">
        <v>35</v>
      </c>
      <c r="Y107" s="369">
        <v>0</v>
      </c>
      <c r="Z107" s="369">
        <v>4</v>
      </c>
      <c r="AA107" s="369">
        <v>0</v>
      </c>
      <c r="AB107" s="369">
        <v>0</v>
      </c>
      <c r="AC107" s="369" t="s">
        <v>287</v>
      </c>
      <c r="AD107" s="369">
        <v>-26</v>
      </c>
      <c r="AE107" s="369">
        <v>0</v>
      </c>
      <c r="AF107" s="369">
        <v>0</v>
      </c>
      <c r="AG107" s="369">
        <v>1</v>
      </c>
      <c r="AH107" s="369">
        <v>0</v>
      </c>
      <c r="AI107" s="369">
        <v>40</v>
      </c>
      <c r="AJ107" s="369">
        <v>1</v>
      </c>
      <c r="AK107" s="369">
        <v>2</v>
      </c>
    </row>
    <row r="108" spans="1:37" s="373" customFormat="1" x14ac:dyDescent="0.25">
      <c r="A108" s="365"/>
      <c r="B108" s="366" t="s">
        <v>38</v>
      </c>
      <c r="C108" s="367" t="str">
        <f>VLOOKUP(Table2[[#This Row],[Course Title]],'TSD-Data'!$A$1:$E$56,2,FALSE)</f>
        <v>A-493-0061</v>
      </c>
      <c r="D108" s="367" t="str">
        <f>VLOOKUP(Table2[[#This Row],[Course Title]],'TSD-Data'!$A$1:$E$56,3,FALSE)</f>
        <v>288E</v>
      </c>
      <c r="E108" s="386" t="s">
        <v>86</v>
      </c>
      <c r="F108" s="387">
        <v>45670</v>
      </c>
      <c r="G108" s="387">
        <v>45673</v>
      </c>
      <c r="H108" s="388"/>
      <c r="I108" s="388">
        <v>1900</v>
      </c>
      <c r="J108" s="388">
        <v>1600</v>
      </c>
      <c r="K108" s="370">
        <v>0.125</v>
      </c>
      <c r="L108" s="381">
        <v>4.1666666666666664E-2</v>
      </c>
      <c r="M108" s="388">
        <v>1400</v>
      </c>
      <c r="N108" s="381">
        <v>0.375</v>
      </c>
      <c r="O108" s="386" t="s">
        <v>303</v>
      </c>
      <c r="P108" s="365"/>
      <c r="Q108" s="365"/>
      <c r="R108" s="372">
        <f>VLOOKUP(Table2[[#This Row],[Course Title]],'TSD-Data'!$A$1:$E$56,4,FALSE)</f>
        <v>45</v>
      </c>
      <c r="S108" s="372">
        <f>VLOOKUP(Table2[[#This Row],[Course Title]],'TSD-Data'!$A$1:$F$53,6,FALSE)</f>
        <v>30</v>
      </c>
      <c r="T108" s="372">
        <f>VLOOKUP(Table2[[#This Row],[Course Title]],'TSD-Data'!$A$1:$E$56,5,FALSE)</f>
        <v>4</v>
      </c>
      <c r="U108" s="369">
        <v>119</v>
      </c>
      <c r="V108" s="369">
        <f>Table2[[#This Row],[Quotas]]-Table2[[#This Row],[Open Quotas]]</f>
        <v>30</v>
      </c>
      <c r="W108" s="369">
        <v>0</v>
      </c>
      <c r="X108" s="369">
        <v>25</v>
      </c>
      <c r="Y108" s="369">
        <v>0</v>
      </c>
      <c r="Z108" s="369">
        <v>8</v>
      </c>
      <c r="AA108" s="369">
        <v>0</v>
      </c>
      <c r="AB108" s="369">
        <v>0</v>
      </c>
      <c r="AC108" s="369" t="s">
        <v>291</v>
      </c>
      <c r="AD108" s="369">
        <v>-27</v>
      </c>
      <c r="AE108" s="369">
        <v>0</v>
      </c>
      <c r="AF108" s="369">
        <v>0</v>
      </c>
      <c r="AG108" s="369">
        <v>1</v>
      </c>
      <c r="AH108" s="369">
        <v>0</v>
      </c>
      <c r="AI108" s="369">
        <v>30</v>
      </c>
      <c r="AJ108" s="369">
        <v>15</v>
      </c>
      <c r="AK108" s="369">
        <v>2</v>
      </c>
    </row>
    <row r="109" spans="1:37" s="373" customFormat="1" x14ac:dyDescent="0.25">
      <c r="A109" s="365"/>
      <c r="B109" s="366" t="s">
        <v>29</v>
      </c>
      <c r="C109" s="367" t="str">
        <f>VLOOKUP(Table2[[#This Row],[Course Title]],'TSD-Data'!$A$1:$E$56,2,FALSE)</f>
        <v>A-493-0077</v>
      </c>
      <c r="D109" s="367" t="str">
        <f>VLOOKUP(Table2[[#This Row],[Course Title]],'TSD-Data'!$A$1:$E$56,3,FALSE)</f>
        <v>0381</v>
      </c>
      <c r="E109" s="366" t="s">
        <v>161</v>
      </c>
      <c r="F109" s="375">
        <v>45670</v>
      </c>
      <c r="G109" s="375">
        <v>45672</v>
      </c>
      <c r="H109" s="370">
        <v>0.33333333333333331</v>
      </c>
      <c r="I109" s="369"/>
      <c r="J109" s="369"/>
      <c r="K109" s="369"/>
      <c r="L109" s="369"/>
      <c r="M109" s="369"/>
      <c r="N109" s="376"/>
      <c r="O109" s="365" t="s">
        <v>280</v>
      </c>
      <c r="P109" s="365"/>
      <c r="Q109" s="365"/>
      <c r="R109" s="372">
        <f>VLOOKUP(Table2[[#This Row],[Course Title]],'TSD-Data'!$A$1:$E$56,4,FALSE)</f>
        <v>25</v>
      </c>
      <c r="S109" s="372">
        <f>VLOOKUP(Table2[[#This Row],[Course Title]],'TSD-Data'!$A$1:$F$53,6,FALSE)</f>
        <v>24</v>
      </c>
      <c r="T109" s="372">
        <f>VLOOKUP(Table2[[#This Row],[Course Title]],'TSD-Data'!$A$1:$E$56,5,FALSE)</f>
        <v>3</v>
      </c>
      <c r="U109" s="369">
        <v>0</v>
      </c>
      <c r="V109" s="369">
        <f>Table2[[#This Row],[Quotas]]-Table2[[#This Row],[Open Quotas]]</f>
        <v>0</v>
      </c>
      <c r="W109" s="369">
        <v>0</v>
      </c>
      <c r="X109" s="369">
        <v>22</v>
      </c>
      <c r="Y109" s="369">
        <v>0</v>
      </c>
      <c r="Z109" s="369">
        <v>3</v>
      </c>
      <c r="AA109" s="369">
        <v>0</v>
      </c>
      <c r="AB109" s="369">
        <v>0</v>
      </c>
      <c r="AC109" s="369" t="s">
        <v>287</v>
      </c>
      <c r="AD109" s="369">
        <v>-28</v>
      </c>
      <c r="AE109" s="369">
        <v>0</v>
      </c>
      <c r="AF109" s="369">
        <v>0</v>
      </c>
      <c r="AG109" s="369">
        <v>1</v>
      </c>
      <c r="AH109" s="369">
        <v>0</v>
      </c>
      <c r="AI109" s="369">
        <v>24</v>
      </c>
      <c r="AJ109" s="369">
        <v>25</v>
      </c>
      <c r="AK109" s="369">
        <v>2</v>
      </c>
    </row>
    <row r="110" spans="1:37" s="373" customFormat="1" x14ac:dyDescent="0.25">
      <c r="A110" s="365" t="s">
        <v>483</v>
      </c>
      <c r="B110" s="366" t="s">
        <v>31</v>
      </c>
      <c r="C110" s="367" t="str">
        <f>VLOOKUP(Table2[[#This Row],[Course Title]],'TSD-Data'!$A$1:$E$56,2,FALSE)</f>
        <v>A-493-0083</v>
      </c>
      <c r="D110" s="367" t="str">
        <f>VLOOKUP(Table2[[#This Row],[Course Title]],'TSD-Data'!$A$1:$E$56,3,FALSE)</f>
        <v>339E</v>
      </c>
      <c r="E110" s="366" t="s">
        <v>86</v>
      </c>
      <c r="F110" s="375">
        <v>45670</v>
      </c>
      <c r="G110" s="375">
        <v>45670</v>
      </c>
      <c r="H110" s="369"/>
      <c r="I110" s="370">
        <v>0.33333333333333331</v>
      </c>
      <c r="J110" s="379">
        <v>0.20833333333333334</v>
      </c>
      <c r="K110" s="369">
        <v>1600</v>
      </c>
      <c r="L110" s="369">
        <v>1400</v>
      </c>
      <c r="M110" s="370">
        <v>0.125</v>
      </c>
      <c r="N110" s="369">
        <v>2200</v>
      </c>
      <c r="O110" s="365" t="s">
        <v>280</v>
      </c>
      <c r="P110" s="365"/>
      <c r="Q110" s="365"/>
      <c r="R110" s="372">
        <f>VLOOKUP(Table2[[#This Row],[Course Title]],'TSD-Data'!$A$1:$E$56,4,FALSE)</f>
        <v>30</v>
      </c>
      <c r="S110" s="372">
        <f>VLOOKUP(Table2[[#This Row],[Course Title]],'TSD-Data'!$A$1:$F$53,6,FALSE)</f>
        <v>8</v>
      </c>
      <c r="T110" s="372">
        <f>VLOOKUP(Table2[[#This Row],[Course Title]],'TSD-Data'!$A$1:$E$56,5,FALSE)</f>
        <v>1</v>
      </c>
      <c r="U110" s="369">
        <v>0</v>
      </c>
      <c r="V110" s="369">
        <f>Table2[[#This Row],[Quotas]]-Table2[[#This Row],[Open Quotas]]</f>
        <v>29</v>
      </c>
      <c r="W110" s="369">
        <v>0</v>
      </c>
      <c r="X110" s="369">
        <v>23</v>
      </c>
      <c r="Y110" s="369">
        <v>0</v>
      </c>
      <c r="Z110" s="369">
        <v>6</v>
      </c>
      <c r="AA110" s="369">
        <v>0</v>
      </c>
      <c r="AB110" s="369">
        <v>0</v>
      </c>
      <c r="AC110" s="369" t="s">
        <v>287</v>
      </c>
      <c r="AD110" s="369">
        <v>-30</v>
      </c>
      <c r="AE110" s="369">
        <v>1</v>
      </c>
      <c r="AF110" s="369">
        <v>0</v>
      </c>
      <c r="AG110" s="369">
        <v>1</v>
      </c>
      <c r="AH110" s="369">
        <v>0</v>
      </c>
      <c r="AI110" s="369">
        <v>8</v>
      </c>
      <c r="AJ110" s="369">
        <v>1</v>
      </c>
      <c r="AK110" s="369">
        <v>2</v>
      </c>
    </row>
    <row r="111" spans="1:37" s="373" customFormat="1" x14ac:dyDescent="0.25">
      <c r="A111" s="365"/>
      <c r="B111" s="366" t="s">
        <v>59</v>
      </c>
      <c r="C111" s="367" t="str">
        <f>VLOOKUP(Table2[[#This Row],[Course Title]],'TSD-Data'!$A$1:$E$56,2,FALSE)</f>
        <v>A-493-0550</v>
      </c>
      <c r="D111" s="367" t="str">
        <f>VLOOKUP(Table2[[#This Row],[Course Title]],'TSD-Data'!$A$1:$E$56,3,FALSE)</f>
        <v>09K5</v>
      </c>
      <c r="E111" s="365" t="s">
        <v>86</v>
      </c>
      <c r="F111" s="368">
        <v>45670</v>
      </c>
      <c r="G111" s="368">
        <v>45673</v>
      </c>
      <c r="H111" s="369"/>
      <c r="I111" s="369">
        <v>1000</v>
      </c>
      <c r="J111" s="370">
        <v>0.29166666666666669</v>
      </c>
      <c r="K111" s="369">
        <v>1800</v>
      </c>
      <c r="L111" s="369">
        <v>1600</v>
      </c>
      <c r="M111" s="371">
        <v>0.20833333333333334</v>
      </c>
      <c r="N111" s="369">
        <v>2300</v>
      </c>
      <c r="O111" s="365" t="s">
        <v>301</v>
      </c>
      <c r="P111" s="365"/>
      <c r="Q111" s="365"/>
      <c r="R111" s="372">
        <f>VLOOKUP(Table2[[#This Row],[Course Title]],'TSD-Data'!$A$1:$E$56,4,FALSE)</f>
        <v>45</v>
      </c>
      <c r="S111" s="372">
        <f>VLOOKUP(Table2[[#This Row],[Course Title]],'TSD-Data'!$A$1:$F$53,6,FALSE)</f>
        <v>32</v>
      </c>
      <c r="T111" s="372">
        <f>VLOOKUP(Table2[[#This Row],[Course Title]],'TSD-Data'!$A$1:$E$56,5,FALSE)</f>
        <v>4</v>
      </c>
      <c r="U111" s="369">
        <v>465</v>
      </c>
      <c r="V111" s="369">
        <f>Table2[[#This Row],[Quotas]]-Table2[[#This Row],[Open Quotas]]</f>
        <v>43</v>
      </c>
      <c r="W111" s="369">
        <v>5</v>
      </c>
      <c r="X111" s="369">
        <v>46</v>
      </c>
      <c r="Y111" s="369">
        <v>1</v>
      </c>
      <c r="Z111" s="369">
        <v>4</v>
      </c>
      <c r="AA111" s="369">
        <v>2</v>
      </c>
      <c r="AB111" s="382">
        <v>0</v>
      </c>
      <c r="AC111" s="369" t="s">
        <v>291</v>
      </c>
      <c r="AD111" s="369">
        <v>-27</v>
      </c>
      <c r="AE111" s="369">
        <v>0</v>
      </c>
      <c r="AF111" s="369">
        <v>0</v>
      </c>
      <c r="AG111" s="369">
        <v>1</v>
      </c>
      <c r="AH111" s="369">
        <v>0</v>
      </c>
      <c r="AI111" s="369">
        <v>32</v>
      </c>
      <c r="AJ111" s="369">
        <v>2</v>
      </c>
      <c r="AK111" s="369">
        <v>2</v>
      </c>
    </row>
    <row r="112" spans="1:37" s="373" customFormat="1" x14ac:dyDescent="0.25">
      <c r="A112" s="365"/>
      <c r="B112" s="365" t="s">
        <v>60</v>
      </c>
      <c r="C112" s="367" t="str">
        <f>VLOOKUP(Table2[[#This Row],[Course Title]],'TSD-Data'!$A$1:$E$56,2,FALSE)</f>
        <v>A-493-0073</v>
      </c>
      <c r="D112" s="367" t="str">
        <f>VLOOKUP(Table2[[#This Row],[Course Title]],'TSD-Data'!$A$1:$E$56,3,FALSE)</f>
        <v>714S</v>
      </c>
      <c r="E112" s="365" t="s">
        <v>86</v>
      </c>
      <c r="F112" s="368">
        <v>45670</v>
      </c>
      <c r="G112" s="368">
        <v>45673</v>
      </c>
      <c r="H112" s="369"/>
      <c r="I112" s="369">
        <v>1100</v>
      </c>
      <c r="J112" s="370">
        <v>0.33333333333333331</v>
      </c>
      <c r="K112" s="369">
        <v>1900</v>
      </c>
      <c r="L112" s="369">
        <v>1700</v>
      </c>
      <c r="M112" s="370">
        <v>0.25</v>
      </c>
      <c r="N112" s="381">
        <v>4.1666666666666664E-2</v>
      </c>
      <c r="O112" s="365" t="s">
        <v>314</v>
      </c>
      <c r="P112" s="365"/>
      <c r="Q112" s="365"/>
      <c r="R112" s="372">
        <f>VLOOKUP(Table2[[#This Row],[Course Title]],'TSD-Data'!$A$1:$E$56,4,FALSE)</f>
        <v>30</v>
      </c>
      <c r="S112" s="372">
        <f>VLOOKUP(Table2[[#This Row],[Course Title]],'TSD-Data'!$A$1:$F$53,6,FALSE)</f>
        <v>32</v>
      </c>
      <c r="T112" s="372">
        <f>VLOOKUP(Table2[[#This Row],[Course Title]],'TSD-Data'!$A$1:$E$56,5,FALSE)</f>
        <v>4</v>
      </c>
      <c r="U112" s="369">
        <v>433</v>
      </c>
      <c r="V112" s="369">
        <f>Table2[[#This Row],[Quotas]]-Table2[[#This Row],[Open Quotas]]</f>
        <v>25</v>
      </c>
      <c r="W112" s="369">
        <v>0</v>
      </c>
      <c r="X112" s="369">
        <v>25</v>
      </c>
      <c r="Y112" s="369">
        <v>0</v>
      </c>
      <c r="Z112" s="369">
        <v>1</v>
      </c>
      <c r="AA112" s="369">
        <v>0</v>
      </c>
      <c r="AB112" s="369">
        <v>0</v>
      </c>
      <c r="AC112" s="369" t="s">
        <v>291</v>
      </c>
      <c r="AD112" s="369">
        <v>-27</v>
      </c>
      <c r="AE112" s="369">
        <v>0</v>
      </c>
      <c r="AF112" s="369">
        <v>0</v>
      </c>
      <c r="AG112" s="369">
        <v>1</v>
      </c>
      <c r="AH112" s="369">
        <v>0</v>
      </c>
      <c r="AI112" s="369">
        <v>32</v>
      </c>
      <c r="AJ112" s="369">
        <v>5</v>
      </c>
      <c r="AK112" s="369">
        <v>2</v>
      </c>
    </row>
    <row r="113" spans="1:37" s="373" customFormat="1" x14ac:dyDescent="0.25">
      <c r="A113" s="366"/>
      <c r="B113" s="366" t="s">
        <v>52</v>
      </c>
      <c r="C113" s="374" t="str">
        <f>VLOOKUP(Table2[[#This Row],[Course Title]],'TSD-Data'!$A$1:$E$56,2,FALSE)</f>
        <v>A-493-0085</v>
      </c>
      <c r="D113" s="374">
        <f>VLOOKUP(Table2[[#This Row],[Course Title]],'TSD-Data'!$A$1:$E$56,3,FALSE)</f>
        <v>3555</v>
      </c>
      <c r="E113" s="366" t="s">
        <v>86</v>
      </c>
      <c r="F113" s="375">
        <v>45670</v>
      </c>
      <c r="G113" s="375">
        <v>45673</v>
      </c>
      <c r="H113" s="376"/>
      <c r="I113" s="376">
        <v>1200</v>
      </c>
      <c r="J113" s="380">
        <v>0.375</v>
      </c>
      <c r="K113" s="376">
        <v>2000</v>
      </c>
      <c r="L113" s="376">
        <v>1800</v>
      </c>
      <c r="M113" s="377">
        <v>0.29166666666666669</v>
      </c>
      <c r="N113" s="371">
        <v>8.3333333333333329E-2</v>
      </c>
      <c r="O113" s="366" t="s">
        <v>318</v>
      </c>
      <c r="P113" s="366" t="s">
        <v>315</v>
      </c>
      <c r="Q113" s="365"/>
      <c r="R113" s="378">
        <f>VLOOKUP(Table2[[#This Row],[Course Title]],'TSD-Data'!$A$1:$E$56,4,FALSE)</f>
        <v>45</v>
      </c>
      <c r="S113" s="378">
        <f>VLOOKUP(Table2[[#This Row],[Course Title]],'TSD-Data'!$A$1:$F$53,6,FALSE)</f>
        <v>32</v>
      </c>
      <c r="T113" s="378">
        <f>VLOOKUP(Table2[[#This Row],[Course Title]],'TSD-Data'!$A$1:$E$56,5,FALSE)</f>
        <v>4</v>
      </c>
      <c r="U113" s="376">
        <v>503</v>
      </c>
      <c r="V113" s="376">
        <f>Table2[[#This Row],[Quotas]]-Table2[[#This Row],[Open Quotas]]</f>
        <v>10</v>
      </c>
      <c r="W113" s="376">
        <v>0</v>
      </c>
      <c r="X113" s="376">
        <v>10</v>
      </c>
      <c r="Y113" s="376">
        <v>0</v>
      </c>
      <c r="Z113" s="376">
        <v>2</v>
      </c>
      <c r="AA113" s="376">
        <v>0</v>
      </c>
      <c r="AB113" s="376">
        <v>0</v>
      </c>
      <c r="AC113" s="376" t="s">
        <v>281</v>
      </c>
      <c r="AD113" s="376">
        <v>-27</v>
      </c>
      <c r="AE113" s="376">
        <v>0</v>
      </c>
      <c r="AF113" s="376">
        <v>0</v>
      </c>
      <c r="AG113" s="376">
        <v>1</v>
      </c>
      <c r="AH113" s="376">
        <v>1</v>
      </c>
      <c r="AI113" s="376">
        <v>16</v>
      </c>
      <c r="AJ113" s="376">
        <v>35</v>
      </c>
      <c r="AK113" s="376">
        <v>2</v>
      </c>
    </row>
    <row r="114" spans="1:37" s="373" customFormat="1" x14ac:dyDescent="0.25">
      <c r="A114" s="366"/>
      <c r="B114" s="366" t="s">
        <v>53</v>
      </c>
      <c r="C114" s="374" t="str">
        <f>VLOOKUP(Table2[[#This Row],[Course Title]],'TSD-Data'!$A$1:$E$56,2,FALSE)</f>
        <v>A-493-0072</v>
      </c>
      <c r="D114" s="374" t="str">
        <f>VLOOKUP(Table2[[#This Row],[Course Title]],'TSD-Data'!$A$1:$E$56,3,FALSE)</f>
        <v>713U</v>
      </c>
      <c r="E114" s="366" t="s">
        <v>212</v>
      </c>
      <c r="F114" s="375">
        <v>45670</v>
      </c>
      <c r="G114" s="375">
        <v>45674</v>
      </c>
      <c r="H114" s="377">
        <v>0.33333333333333331</v>
      </c>
      <c r="I114" s="376"/>
      <c r="J114" s="376"/>
      <c r="K114" s="376"/>
      <c r="L114" s="376"/>
      <c r="M114" s="376"/>
      <c r="N114" s="376"/>
      <c r="O114" s="366" t="s">
        <v>316</v>
      </c>
      <c r="P114" s="366" t="s">
        <v>274</v>
      </c>
      <c r="Q114" s="365"/>
      <c r="R114" s="378">
        <f>VLOOKUP(Table2[[#This Row],[Course Title]],'TSD-Data'!$A$1:$E$56,4,FALSE)</f>
        <v>30</v>
      </c>
      <c r="S114" s="378">
        <f>VLOOKUP(Table2[[#This Row],[Course Title]],'TSD-Data'!$A$1:$F$53,6,FALSE)</f>
        <v>40</v>
      </c>
      <c r="T114" s="378">
        <f>VLOOKUP(Table2[[#This Row],[Course Title]],'TSD-Data'!$A$1:$E$56,5,FALSE)</f>
        <v>5</v>
      </c>
      <c r="U114" s="376">
        <v>64</v>
      </c>
      <c r="V114" s="376">
        <f>Table2[[#This Row],[Quotas]]-Table2[[#This Row],[Open Quotas]]</f>
        <v>29</v>
      </c>
      <c r="W114" s="376">
        <v>1</v>
      </c>
      <c r="X114" s="376">
        <v>23</v>
      </c>
      <c r="Y114" s="376">
        <v>0</v>
      </c>
      <c r="Z114" s="376">
        <v>5</v>
      </c>
      <c r="AA114" s="376">
        <v>2</v>
      </c>
      <c r="AB114" s="376">
        <v>0</v>
      </c>
      <c r="AC114" s="376" t="s">
        <v>281</v>
      </c>
      <c r="AD114" s="376">
        <v>-26</v>
      </c>
      <c r="AE114" s="376">
        <v>0</v>
      </c>
      <c r="AF114" s="376">
        <v>0</v>
      </c>
      <c r="AG114" s="376">
        <v>1</v>
      </c>
      <c r="AH114" s="376">
        <v>1</v>
      </c>
      <c r="AI114" s="376">
        <v>20</v>
      </c>
      <c r="AJ114" s="376">
        <v>1</v>
      </c>
      <c r="AK114" s="376">
        <v>2</v>
      </c>
    </row>
    <row r="115" spans="1:37" s="373" customFormat="1" x14ac:dyDescent="0.25">
      <c r="A115" s="365"/>
      <c r="B115" s="365" t="s">
        <v>15</v>
      </c>
      <c r="C115" s="367" t="str">
        <f>VLOOKUP(Table2[[#This Row],[Course Title]],'TSD-Data'!$A$1:$E$56,2,FALSE)</f>
        <v>A-4J-0022</v>
      </c>
      <c r="D115" s="367" t="str">
        <f>VLOOKUP(Table2[[#This Row],[Course Title]],'TSD-Data'!$A$1:$E$56,3,FALSE)</f>
        <v>09ER</v>
      </c>
      <c r="E115" s="365" t="s">
        <v>86</v>
      </c>
      <c r="F115" s="368">
        <v>45671</v>
      </c>
      <c r="G115" s="368">
        <v>45672</v>
      </c>
      <c r="H115" s="369"/>
      <c r="I115" s="369">
        <v>1200</v>
      </c>
      <c r="J115" s="380">
        <v>0.375</v>
      </c>
      <c r="K115" s="369">
        <v>2000</v>
      </c>
      <c r="L115" s="369">
        <v>1800</v>
      </c>
      <c r="M115" s="370">
        <v>0.29166666666666669</v>
      </c>
      <c r="N115" s="371">
        <v>8.3333333333333329E-2</v>
      </c>
      <c r="O115" s="365" t="s">
        <v>278</v>
      </c>
      <c r="P115" s="365"/>
      <c r="Q115" s="365"/>
      <c r="R115" s="372">
        <f>VLOOKUP(Table2[[#This Row],[Course Title]],'TSD-Data'!$A$1:$E$56,4,FALSE)</f>
        <v>45</v>
      </c>
      <c r="S115" s="372">
        <f>VLOOKUP(Table2[[#This Row],[Course Title]],'TSD-Data'!$A$1:$F$53,6,FALSE)</f>
        <v>16</v>
      </c>
      <c r="T115" s="372">
        <f>VLOOKUP(Table2[[#This Row],[Course Title]],'TSD-Data'!$A$1:$E$56,5,FALSE)</f>
        <v>2</v>
      </c>
      <c r="U115" s="369">
        <v>277</v>
      </c>
      <c r="V115" s="369">
        <f>Table2[[#This Row],[Quotas]]-Table2[[#This Row],[Open Quotas]]</f>
        <v>21</v>
      </c>
      <c r="W115" s="369">
        <v>0</v>
      </c>
      <c r="X115" s="369">
        <v>21</v>
      </c>
      <c r="Y115" s="369">
        <v>0</v>
      </c>
      <c r="Z115" s="369">
        <v>3</v>
      </c>
      <c r="AA115" s="369">
        <v>0</v>
      </c>
      <c r="AB115" s="369">
        <v>0</v>
      </c>
      <c r="AC115" s="369" t="s">
        <v>287</v>
      </c>
      <c r="AD115" s="369">
        <v>-28</v>
      </c>
      <c r="AE115" s="369">
        <v>0</v>
      </c>
      <c r="AF115" s="369">
        <v>0</v>
      </c>
      <c r="AG115" s="369">
        <v>1</v>
      </c>
      <c r="AH115" s="369">
        <v>0</v>
      </c>
      <c r="AI115" s="369">
        <v>16</v>
      </c>
      <c r="AJ115" s="369">
        <v>24</v>
      </c>
      <c r="AK115" s="369">
        <v>2</v>
      </c>
    </row>
    <row r="116" spans="1:37" s="373" customFormat="1" x14ac:dyDescent="0.25">
      <c r="A116" s="365"/>
      <c r="B116" s="366" t="s">
        <v>57</v>
      </c>
      <c r="C116" s="367" t="str">
        <f>VLOOKUP(Table2[[#This Row],[Course Title]],'TSD-Data'!$A$1:$E$56,2,FALSE)</f>
        <v>A-493-0099</v>
      </c>
      <c r="D116" s="367" t="str">
        <f>VLOOKUP(Table2[[#This Row],[Course Title]],'TSD-Data'!$A$1:$E$56,3,FALSE)</f>
        <v>12JW</v>
      </c>
      <c r="E116" s="386" t="s">
        <v>86</v>
      </c>
      <c r="F116" s="387">
        <v>45671</v>
      </c>
      <c r="G116" s="387">
        <v>45673</v>
      </c>
      <c r="H116" s="388"/>
      <c r="I116" s="388">
        <v>1200</v>
      </c>
      <c r="J116" s="381">
        <v>0.375</v>
      </c>
      <c r="K116" s="388">
        <v>2000</v>
      </c>
      <c r="L116" s="388">
        <v>1800</v>
      </c>
      <c r="M116" s="370">
        <v>0.29166666666666669</v>
      </c>
      <c r="N116" s="371">
        <v>8.3333333333333329E-2</v>
      </c>
      <c r="O116" s="386" t="s">
        <v>305</v>
      </c>
      <c r="P116" s="365"/>
      <c r="Q116" s="365"/>
      <c r="R116" s="372">
        <f>VLOOKUP(Table2[[#This Row],[Course Title]],'TSD-Data'!$A$1:$E$56,4,FALSE)</f>
        <v>45</v>
      </c>
      <c r="S116" s="372">
        <f>VLOOKUP(Table2[[#This Row],[Course Title]],'TSD-Data'!$A$1:$F$53,6,FALSE)</f>
        <v>24</v>
      </c>
      <c r="T116" s="372">
        <f>VLOOKUP(Table2[[#This Row],[Course Title]],'TSD-Data'!$A$1:$E$56,5,FALSE)</f>
        <v>3</v>
      </c>
      <c r="U116" s="369">
        <v>718</v>
      </c>
      <c r="V116" s="369">
        <f>Table2[[#This Row],[Quotas]]-Table2[[#This Row],[Open Quotas]]</f>
        <v>46</v>
      </c>
      <c r="W116" s="369">
        <v>2</v>
      </c>
      <c r="X116" s="369">
        <v>37</v>
      </c>
      <c r="Y116" s="369">
        <v>0</v>
      </c>
      <c r="Z116" s="369">
        <v>9</v>
      </c>
      <c r="AA116" s="369">
        <v>1</v>
      </c>
      <c r="AB116" s="369">
        <v>0</v>
      </c>
      <c r="AC116" s="369" t="s">
        <v>291</v>
      </c>
      <c r="AD116" s="369">
        <v>-27</v>
      </c>
      <c r="AE116" s="369">
        <v>0</v>
      </c>
      <c r="AF116" s="369">
        <v>0</v>
      </c>
      <c r="AG116" s="369">
        <v>1</v>
      </c>
      <c r="AH116" s="369">
        <v>0</v>
      </c>
      <c r="AI116" s="369">
        <v>24</v>
      </c>
      <c r="AJ116" s="369">
        <v>-1</v>
      </c>
      <c r="AK116" s="369">
        <v>2</v>
      </c>
    </row>
    <row r="117" spans="1:37" s="373" customFormat="1" x14ac:dyDescent="0.25">
      <c r="A117" s="365"/>
      <c r="B117" s="366" t="s">
        <v>31</v>
      </c>
      <c r="C117" s="367" t="str">
        <f>VLOOKUP(Table2[[#This Row],[Course Title]],'TSD-Data'!$A$1:$E$56,2,FALSE)</f>
        <v>A-493-0083</v>
      </c>
      <c r="D117" s="367" t="str">
        <f>VLOOKUP(Table2[[#This Row],[Course Title]],'TSD-Data'!$A$1:$E$56,3,FALSE)</f>
        <v>339E</v>
      </c>
      <c r="E117" s="365" t="s">
        <v>161</v>
      </c>
      <c r="F117" s="375">
        <v>45673</v>
      </c>
      <c r="G117" s="375">
        <v>45673</v>
      </c>
      <c r="H117" s="370">
        <v>0.33333333333333331</v>
      </c>
      <c r="I117" s="369"/>
      <c r="J117" s="369"/>
      <c r="K117" s="369"/>
      <c r="L117" s="369"/>
      <c r="M117" s="369"/>
      <c r="N117" s="369"/>
      <c r="O117" s="365" t="s">
        <v>280</v>
      </c>
      <c r="P117" s="365"/>
      <c r="Q117" s="365"/>
      <c r="R117" s="372">
        <f>VLOOKUP(Table2[[#This Row],[Course Title]],'TSD-Data'!$A$1:$E$56,4,FALSE)</f>
        <v>30</v>
      </c>
      <c r="S117" s="372">
        <f>VLOOKUP(Table2[[#This Row],[Course Title]],'TSD-Data'!$A$1:$F$53,6,FALSE)</f>
        <v>8</v>
      </c>
      <c r="T117" s="372">
        <f>VLOOKUP(Table2[[#This Row],[Course Title]],'TSD-Data'!$A$1:$E$56,5,FALSE)</f>
        <v>1</v>
      </c>
      <c r="U117" s="369">
        <v>0</v>
      </c>
      <c r="V117" s="369">
        <f>Table2[[#This Row],[Quotas]]-Table2[[#This Row],[Open Quotas]]</f>
        <v>0</v>
      </c>
      <c r="W117" s="369">
        <v>0</v>
      </c>
      <c r="X117" s="369">
        <v>0</v>
      </c>
      <c r="Y117" s="369">
        <v>0</v>
      </c>
      <c r="Z117" s="369">
        <v>0</v>
      </c>
      <c r="AA117" s="369">
        <v>0</v>
      </c>
      <c r="AB117" s="369">
        <v>0</v>
      </c>
      <c r="AC117" s="369" t="s">
        <v>287</v>
      </c>
      <c r="AD117" s="369">
        <v>-27</v>
      </c>
      <c r="AE117" s="369">
        <v>0</v>
      </c>
      <c r="AF117" s="369">
        <v>0</v>
      </c>
      <c r="AG117" s="369">
        <v>1</v>
      </c>
      <c r="AH117" s="369">
        <v>0</v>
      </c>
      <c r="AI117" s="369">
        <v>8</v>
      </c>
      <c r="AJ117" s="369">
        <v>30</v>
      </c>
      <c r="AK117" s="369">
        <v>2</v>
      </c>
    </row>
    <row r="118" spans="1:37" s="373" customFormat="1" x14ac:dyDescent="0.25">
      <c r="A118" s="365" t="s">
        <v>440</v>
      </c>
      <c r="B118" s="366" t="s">
        <v>223</v>
      </c>
      <c r="C118" s="367" t="str">
        <f>VLOOKUP(Table2[[#This Row],[Course Title]],'TSD-Data'!$A$1:$E$56,2,FALSE)</f>
        <v>Holiday</v>
      </c>
      <c r="D118" s="367" t="str">
        <f>VLOOKUP(Table2[[#This Row],[Course Title]],'TSD-Data'!$A$1:$E$56,3,FALSE)</f>
        <v>Holiday</v>
      </c>
      <c r="E118" s="366" t="s">
        <v>223</v>
      </c>
      <c r="F118" s="368">
        <v>45677</v>
      </c>
      <c r="G118" s="368">
        <v>45677</v>
      </c>
      <c r="H118" s="369"/>
      <c r="I118" s="369"/>
      <c r="J118" s="369"/>
      <c r="K118" s="369"/>
      <c r="L118" s="369"/>
      <c r="M118" s="369"/>
      <c r="N118" s="369"/>
      <c r="O118" s="365"/>
      <c r="P118" s="365"/>
      <c r="Q118" s="365"/>
      <c r="R118" s="372">
        <f>VLOOKUP(Table2[[#This Row],[Course Title]],'TSD-Data'!$A$1:$E$56,4,FALSE)</f>
        <v>0</v>
      </c>
      <c r="S118" s="372">
        <f>VLOOKUP(Table2[[#This Row],[Course Title]],'TSD-Data'!$A$1:$F$53,6,FALSE)</f>
        <v>0</v>
      </c>
      <c r="T118" s="372">
        <f>VLOOKUP(Table2[[#This Row],[Course Title]],'TSD-Data'!$A$1:$E$56,5,FALSE)</f>
        <v>0</v>
      </c>
      <c r="U118" s="369">
        <v>0</v>
      </c>
      <c r="V118" s="369">
        <f>Table2[[#This Row],[Quotas]]-Table2[[#This Row],[Open Quotas]]</f>
        <v>0</v>
      </c>
      <c r="W118" s="369">
        <v>0</v>
      </c>
      <c r="X118" s="369">
        <v>0</v>
      </c>
      <c r="Y118" s="369">
        <v>0</v>
      </c>
      <c r="Z118" s="369">
        <v>0</v>
      </c>
      <c r="AA118" s="369">
        <v>0</v>
      </c>
      <c r="AB118" s="369">
        <v>0</v>
      </c>
      <c r="AC118" s="369" t="s">
        <v>285</v>
      </c>
      <c r="AD118" s="369">
        <v>-23</v>
      </c>
      <c r="AE118" s="369">
        <v>0</v>
      </c>
      <c r="AF118" s="369">
        <v>0</v>
      </c>
      <c r="AG118" s="369">
        <v>0</v>
      </c>
      <c r="AH118" s="369">
        <v>0</v>
      </c>
      <c r="AI118" s="369" t="e">
        <v>#DIV/0!</v>
      </c>
      <c r="AJ118" s="369">
        <v>0</v>
      </c>
      <c r="AK118" s="369">
        <v>2</v>
      </c>
    </row>
    <row r="119" spans="1:37" s="373" customFormat="1" x14ac:dyDescent="0.25">
      <c r="A119" s="365"/>
      <c r="B119" s="366" t="s">
        <v>32</v>
      </c>
      <c r="C119" s="367" t="str">
        <f>VLOOKUP(Table2[[#This Row],[Course Title]],'TSD-Data'!$A$1:$E$56,2,FALSE)</f>
        <v>A-493-2300</v>
      </c>
      <c r="D119" s="367" t="str">
        <f>VLOOKUP(Table2[[#This Row],[Course Title]],'TSD-Data'!$A$1:$E$56,3,FALSE)</f>
        <v>993F</v>
      </c>
      <c r="E119" s="366" t="s">
        <v>205</v>
      </c>
      <c r="F119" s="375">
        <v>45678</v>
      </c>
      <c r="G119" s="375">
        <v>45679</v>
      </c>
      <c r="H119" s="370">
        <v>0.33333333333333331</v>
      </c>
      <c r="I119" s="369"/>
      <c r="J119" s="376"/>
      <c r="K119" s="369"/>
      <c r="L119" s="369"/>
      <c r="M119" s="369"/>
      <c r="N119" s="369"/>
      <c r="O119" s="365" t="s">
        <v>280</v>
      </c>
      <c r="P119" s="365"/>
      <c r="Q119" s="365"/>
      <c r="R119" s="372">
        <f>VLOOKUP(Table2[[#This Row],[Course Title]],'TSD-Data'!$A$1:$E$56,4,FALSE)</f>
        <v>30</v>
      </c>
      <c r="S119" s="372">
        <f>VLOOKUP(Table2[[#This Row],[Course Title]],'TSD-Data'!$A$1:$F$53,6,FALSE)</f>
        <v>16</v>
      </c>
      <c r="T119" s="372">
        <f>VLOOKUP(Table2[[#This Row],[Course Title]],'TSD-Data'!$A$1:$E$56,5,FALSE)</f>
        <v>2</v>
      </c>
      <c r="U119" s="369">
        <v>28</v>
      </c>
      <c r="V119" s="369">
        <f>Table2[[#This Row],[Quotas]]-Table2[[#This Row],[Open Quotas]]</f>
        <v>12</v>
      </c>
      <c r="W119" s="369">
        <v>0</v>
      </c>
      <c r="X119" s="369">
        <v>9</v>
      </c>
      <c r="Y119" s="369">
        <v>0</v>
      </c>
      <c r="Z119" s="369">
        <v>3</v>
      </c>
      <c r="AA119" s="369">
        <v>0</v>
      </c>
      <c r="AB119" s="369">
        <v>0</v>
      </c>
      <c r="AC119" s="369"/>
      <c r="AD119" s="369">
        <v>-21</v>
      </c>
      <c r="AE119" s="369">
        <v>1</v>
      </c>
      <c r="AF119" s="369">
        <v>0</v>
      </c>
      <c r="AG119" s="369">
        <v>1</v>
      </c>
      <c r="AH119" s="369">
        <v>0</v>
      </c>
      <c r="AI119" s="369">
        <v>16</v>
      </c>
      <c r="AJ119" s="369">
        <v>18</v>
      </c>
      <c r="AK119" s="369">
        <v>2</v>
      </c>
    </row>
    <row r="120" spans="1:37" s="373" customFormat="1" x14ac:dyDescent="0.25">
      <c r="A120" s="365"/>
      <c r="B120" s="365" t="s">
        <v>51</v>
      </c>
      <c r="C120" s="367" t="str">
        <f>VLOOKUP(Table2[[#This Row],[Course Title]],'TSD-Data'!$A$1:$E$56,2,FALSE)</f>
        <v>A-493-0335</v>
      </c>
      <c r="D120" s="367" t="str">
        <f>VLOOKUP(Table2[[#This Row],[Course Title]],'TSD-Data'!$A$1:$E$56,3,FALSE)</f>
        <v>09ND</v>
      </c>
      <c r="E120" s="365" t="s">
        <v>86</v>
      </c>
      <c r="F120" s="368">
        <v>45678</v>
      </c>
      <c r="G120" s="368">
        <v>45681</v>
      </c>
      <c r="H120" s="369"/>
      <c r="I120" s="370">
        <v>0.33333333333333331</v>
      </c>
      <c r="J120" s="379">
        <v>0.20833333333333334</v>
      </c>
      <c r="K120" s="369">
        <v>1600</v>
      </c>
      <c r="L120" s="369">
        <v>1400</v>
      </c>
      <c r="M120" s="370">
        <v>0.125</v>
      </c>
      <c r="N120" s="369">
        <v>2200</v>
      </c>
      <c r="O120" s="365" t="s">
        <v>274</v>
      </c>
      <c r="P120" s="365"/>
      <c r="Q120" s="365"/>
      <c r="R120" s="372">
        <f>VLOOKUP(Table2[[#This Row],[Course Title]],'TSD-Data'!$A$1:$E$56,4,FALSE)</f>
        <v>45</v>
      </c>
      <c r="S120" s="372">
        <f>VLOOKUP(Table2[[#This Row],[Course Title]],'TSD-Data'!$A$1:$F$53,6,FALSE)</f>
        <v>32</v>
      </c>
      <c r="T120" s="372">
        <f>VLOOKUP(Table2[[#This Row],[Course Title]],'TSD-Data'!$A$1:$E$56,5,FALSE)</f>
        <v>4</v>
      </c>
      <c r="U120" s="369">
        <v>253</v>
      </c>
      <c r="V120" s="369">
        <f>Table2[[#This Row],[Quotas]]-Table2[[#This Row],[Open Quotas]]</f>
        <v>26</v>
      </c>
      <c r="W120" s="369">
        <v>0</v>
      </c>
      <c r="X120" s="369">
        <v>26</v>
      </c>
      <c r="Y120" s="369">
        <v>0</v>
      </c>
      <c r="Z120" s="369">
        <v>1</v>
      </c>
      <c r="AA120" s="369">
        <v>0</v>
      </c>
      <c r="AB120" s="369">
        <v>0</v>
      </c>
      <c r="AC120" s="369" t="s">
        <v>281</v>
      </c>
      <c r="AD120" s="369">
        <v>-19</v>
      </c>
      <c r="AE120" s="369">
        <v>0</v>
      </c>
      <c r="AF120" s="369">
        <v>0</v>
      </c>
      <c r="AG120" s="369">
        <v>1</v>
      </c>
      <c r="AH120" s="369">
        <v>0</v>
      </c>
      <c r="AI120" s="369">
        <v>32</v>
      </c>
      <c r="AJ120" s="369">
        <v>19</v>
      </c>
      <c r="AK120" s="369">
        <v>2</v>
      </c>
    </row>
    <row r="121" spans="1:37" s="373" customFormat="1" x14ac:dyDescent="0.25">
      <c r="A121" s="365"/>
      <c r="B121" s="366" t="s">
        <v>59</v>
      </c>
      <c r="C121" s="367" t="str">
        <f>VLOOKUP(Table2[[#This Row],[Course Title]],'TSD-Data'!$A$1:$E$56,2,FALSE)</f>
        <v>A-493-0550</v>
      </c>
      <c r="D121" s="367" t="str">
        <f>VLOOKUP(Table2[[#This Row],[Course Title]],'TSD-Data'!$A$1:$E$56,3,FALSE)</f>
        <v>09K5</v>
      </c>
      <c r="E121" s="365" t="s">
        <v>86</v>
      </c>
      <c r="F121" s="368">
        <v>45678</v>
      </c>
      <c r="G121" s="368">
        <v>45681</v>
      </c>
      <c r="H121" s="369"/>
      <c r="I121" s="370">
        <v>0.33333333333333331</v>
      </c>
      <c r="J121" s="379">
        <v>0.20833333333333334</v>
      </c>
      <c r="K121" s="369">
        <v>1600</v>
      </c>
      <c r="L121" s="369">
        <v>1400</v>
      </c>
      <c r="M121" s="370">
        <v>0.125</v>
      </c>
      <c r="N121" s="369">
        <v>2200</v>
      </c>
      <c r="O121" s="365" t="s">
        <v>301</v>
      </c>
      <c r="P121" s="365"/>
      <c r="Q121" s="365"/>
      <c r="R121" s="372">
        <f>VLOOKUP(Table2[[#This Row],[Course Title]],'TSD-Data'!$A$1:$E$56,4,FALSE)</f>
        <v>45</v>
      </c>
      <c r="S121" s="372">
        <f>VLOOKUP(Table2[[#This Row],[Course Title]],'TSD-Data'!$A$1:$F$53,6,FALSE)</f>
        <v>32</v>
      </c>
      <c r="T121" s="372">
        <f>VLOOKUP(Table2[[#This Row],[Course Title]],'TSD-Data'!$A$1:$E$56,5,FALSE)</f>
        <v>4</v>
      </c>
      <c r="U121" s="369">
        <v>845</v>
      </c>
      <c r="V121" s="369">
        <f>Table2[[#This Row],[Quotas]]-Table2[[#This Row],[Open Quotas]]</f>
        <v>45</v>
      </c>
      <c r="W121" s="369">
        <v>0</v>
      </c>
      <c r="X121" s="369">
        <v>41</v>
      </c>
      <c r="Y121" s="369">
        <v>0</v>
      </c>
      <c r="Z121" s="369">
        <v>6</v>
      </c>
      <c r="AA121" s="369">
        <v>1</v>
      </c>
      <c r="AB121" s="369">
        <v>0</v>
      </c>
      <c r="AC121" s="369" t="s">
        <v>291</v>
      </c>
      <c r="AD121" s="369">
        <v>-19</v>
      </c>
      <c r="AE121" s="369">
        <v>0</v>
      </c>
      <c r="AF121" s="369">
        <v>0</v>
      </c>
      <c r="AG121" s="369">
        <v>1</v>
      </c>
      <c r="AH121" s="369">
        <v>0</v>
      </c>
      <c r="AI121" s="369">
        <v>32</v>
      </c>
      <c r="AJ121" s="369">
        <v>0</v>
      </c>
      <c r="AK121" s="369">
        <v>2</v>
      </c>
    </row>
    <row r="122" spans="1:37" s="373" customFormat="1" x14ac:dyDescent="0.25">
      <c r="A122" s="365"/>
      <c r="B122" s="365" t="s">
        <v>50</v>
      </c>
      <c r="C122" s="367" t="str">
        <f>VLOOKUP(Table2[[#This Row],[Course Title]],'TSD-Data'!$A$1:$E$56,2,FALSE)</f>
        <v>A-493-0331</v>
      </c>
      <c r="D122" s="367" t="str">
        <f>VLOOKUP(Table2[[#This Row],[Course Title]],'TSD-Data'!$A$1:$E$56,3,FALSE)</f>
        <v>10UG</v>
      </c>
      <c r="E122" s="365" t="s">
        <v>86</v>
      </c>
      <c r="F122" s="368">
        <v>45679</v>
      </c>
      <c r="G122" s="368">
        <v>45681</v>
      </c>
      <c r="H122" s="369"/>
      <c r="I122" s="370">
        <v>0.33333333333333331</v>
      </c>
      <c r="J122" s="379">
        <v>0.20833333333333334</v>
      </c>
      <c r="K122" s="369">
        <v>1600</v>
      </c>
      <c r="L122" s="369">
        <v>1400</v>
      </c>
      <c r="M122" s="370">
        <v>0.125</v>
      </c>
      <c r="N122" s="369">
        <v>2200</v>
      </c>
      <c r="O122" s="365" t="s">
        <v>318</v>
      </c>
      <c r="P122" s="365"/>
      <c r="Q122" s="365"/>
      <c r="R122" s="372">
        <f>VLOOKUP(Table2[[#This Row],[Course Title]],'TSD-Data'!$A$1:$E$56,4,FALSE)</f>
        <v>45</v>
      </c>
      <c r="S122" s="372">
        <f>VLOOKUP(Table2[[#This Row],[Course Title]],'TSD-Data'!$A$1:$F$53,6,FALSE)</f>
        <v>24</v>
      </c>
      <c r="T122" s="372">
        <f>VLOOKUP(Table2[[#This Row],[Course Title]],'TSD-Data'!$A$1:$E$56,5,FALSE)</f>
        <v>3</v>
      </c>
      <c r="U122" s="369">
        <v>498</v>
      </c>
      <c r="V122" s="369">
        <f>Table2[[#This Row],[Quotas]]-Table2[[#This Row],[Open Quotas]]</f>
        <v>45</v>
      </c>
      <c r="W122" s="369">
        <v>4</v>
      </c>
      <c r="X122" s="369">
        <v>37</v>
      </c>
      <c r="Y122" s="369">
        <v>1</v>
      </c>
      <c r="Z122" s="369">
        <v>7</v>
      </c>
      <c r="AA122" s="369">
        <v>2</v>
      </c>
      <c r="AB122" s="369">
        <v>0</v>
      </c>
      <c r="AC122" s="369" t="s">
        <v>281</v>
      </c>
      <c r="AD122" s="369">
        <v>-19</v>
      </c>
      <c r="AE122" s="369">
        <v>0</v>
      </c>
      <c r="AF122" s="369">
        <v>0</v>
      </c>
      <c r="AG122" s="369">
        <v>1</v>
      </c>
      <c r="AH122" s="369">
        <v>0</v>
      </c>
      <c r="AI122" s="369">
        <v>24</v>
      </c>
      <c r="AJ122" s="369">
        <v>0</v>
      </c>
      <c r="AK122" s="369">
        <v>2</v>
      </c>
    </row>
    <row r="123" spans="1:37" s="373" customFormat="1" x14ac:dyDescent="0.25">
      <c r="A123" s="365"/>
      <c r="B123" s="366" t="s">
        <v>34</v>
      </c>
      <c r="C123" s="367" t="str">
        <f>VLOOKUP(Table2[[#This Row],[Course Title]],'TSD-Data'!$A$1:$E$56,2,FALSE)</f>
        <v>A-493-0216</v>
      </c>
      <c r="D123" s="367" t="str">
        <f>VLOOKUP(Table2[[#This Row],[Course Title]],'TSD-Data'!$A$1:$E$56,3,FALSE)</f>
        <v>12X8</v>
      </c>
      <c r="E123" s="366" t="s">
        <v>205</v>
      </c>
      <c r="F123" s="368">
        <v>45680</v>
      </c>
      <c r="G123" s="368">
        <v>45680</v>
      </c>
      <c r="H123" s="370">
        <v>0.33333333333333331</v>
      </c>
      <c r="I123" s="369"/>
      <c r="J123" s="369"/>
      <c r="K123" s="369"/>
      <c r="L123" s="369"/>
      <c r="M123" s="369"/>
      <c r="N123" s="369"/>
      <c r="O123" s="365" t="s">
        <v>280</v>
      </c>
      <c r="P123" s="365"/>
      <c r="Q123" s="365"/>
      <c r="R123" s="372">
        <f>VLOOKUP(Table2[[#This Row],[Course Title]],'TSD-Data'!$A$1:$E$56,4,FALSE)</f>
        <v>30</v>
      </c>
      <c r="S123" s="372">
        <f>VLOOKUP(Table2[[#This Row],[Course Title]],'TSD-Data'!$A$1:$F$53,6,FALSE)</f>
        <v>8</v>
      </c>
      <c r="T123" s="372">
        <f>VLOOKUP(Table2[[#This Row],[Course Title]],'TSD-Data'!$A$1:$E$56,5,FALSE)</f>
        <v>1</v>
      </c>
      <c r="U123" s="369">
        <v>23</v>
      </c>
      <c r="V123" s="369">
        <f>Table2[[#This Row],[Quotas]]-Table2[[#This Row],[Open Quotas]]</f>
        <v>10</v>
      </c>
      <c r="W123" s="369">
        <v>0</v>
      </c>
      <c r="X123" s="369">
        <v>5</v>
      </c>
      <c r="Y123" s="369">
        <v>0</v>
      </c>
      <c r="Z123" s="369">
        <v>4</v>
      </c>
      <c r="AA123" s="369">
        <v>0</v>
      </c>
      <c r="AB123" s="382">
        <v>0</v>
      </c>
      <c r="AC123" s="369" t="s">
        <v>287</v>
      </c>
      <c r="AD123" s="369">
        <v>-20</v>
      </c>
      <c r="AE123" s="369">
        <v>1</v>
      </c>
      <c r="AF123" s="369">
        <v>0</v>
      </c>
      <c r="AG123" s="369">
        <v>1</v>
      </c>
      <c r="AH123" s="369">
        <v>0</v>
      </c>
      <c r="AI123" s="369">
        <v>8</v>
      </c>
      <c r="AJ123" s="369">
        <v>20</v>
      </c>
      <c r="AK123" s="369">
        <v>2</v>
      </c>
    </row>
    <row r="124" spans="1:37" s="373" customFormat="1" x14ac:dyDescent="0.25">
      <c r="A124" s="366"/>
      <c r="B124" s="366" t="s">
        <v>35</v>
      </c>
      <c r="C124" s="374" t="str">
        <f>VLOOKUP(Table2[[#This Row],[Course Title]],'TSD-Data'!$A$1:$E$56,2,FALSE)</f>
        <v>A-493-2501</v>
      </c>
      <c r="D124" s="374" t="str">
        <f>VLOOKUP(Table2[[#This Row],[Course Title]],'TSD-Data'!$A$1:$E$56,3,FALSE)</f>
        <v>05ZE</v>
      </c>
      <c r="E124" s="366" t="s">
        <v>205</v>
      </c>
      <c r="F124" s="375">
        <v>45681</v>
      </c>
      <c r="G124" s="375">
        <v>45681</v>
      </c>
      <c r="H124" s="377">
        <v>0.33333333333333331</v>
      </c>
      <c r="I124" s="376"/>
      <c r="J124" s="376"/>
      <c r="K124" s="376"/>
      <c r="L124" s="376"/>
      <c r="M124" s="376"/>
      <c r="N124" s="376"/>
      <c r="O124" s="366" t="s">
        <v>280</v>
      </c>
      <c r="P124" s="366"/>
      <c r="Q124" s="365"/>
      <c r="R124" s="378">
        <f>VLOOKUP(Table2[[#This Row],[Course Title]],'TSD-Data'!$A$1:$E$56,4,FALSE)</f>
        <v>30</v>
      </c>
      <c r="S124" s="378">
        <f>VLOOKUP(Table2[[#This Row],[Course Title]],'TSD-Data'!$A$1:$F$53,6,FALSE)</f>
        <v>8</v>
      </c>
      <c r="T124" s="378">
        <f>VLOOKUP(Table2[[#This Row],[Course Title]],'TSD-Data'!$A$1:$E$56,5,FALSE)</f>
        <v>1</v>
      </c>
      <c r="U124" s="376">
        <v>33</v>
      </c>
      <c r="V124" s="376">
        <f>Table2[[#This Row],[Quotas]]-Table2[[#This Row],[Open Quotas]]</f>
        <v>11</v>
      </c>
      <c r="W124" s="376">
        <v>0</v>
      </c>
      <c r="X124" s="376">
        <v>13</v>
      </c>
      <c r="Y124" s="376">
        <v>0</v>
      </c>
      <c r="Z124" s="376">
        <v>2</v>
      </c>
      <c r="AA124" s="376">
        <v>4</v>
      </c>
      <c r="AB124" s="376">
        <v>0</v>
      </c>
      <c r="AC124" s="376" t="s">
        <v>287</v>
      </c>
      <c r="AD124" s="376">
        <v>-19</v>
      </c>
      <c r="AE124" s="376">
        <v>1</v>
      </c>
      <c r="AF124" s="376">
        <v>0</v>
      </c>
      <c r="AG124" s="376">
        <v>1</v>
      </c>
      <c r="AH124" s="376">
        <v>0</v>
      </c>
      <c r="AI124" s="376">
        <v>8</v>
      </c>
      <c r="AJ124" s="376">
        <v>19</v>
      </c>
      <c r="AK124" s="376">
        <v>2</v>
      </c>
    </row>
    <row r="125" spans="1:37" s="373" customFormat="1" x14ac:dyDescent="0.25">
      <c r="A125" s="389"/>
      <c r="B125" s="390" t="s">
        <v>55</v>
      </c>
      <c r="C125" s="367" t="str">
        <f>VLOOKUP(Table2[[#This Row],[Course Title]],'TSD-Data'!$A$1:$E$56,2,FALSE)</f>
        <v>A-493-0103</v>
      </c>
      <c r="D125" s="367" t="str">
        <f>VLOOKUP(Table2[[#This Row],[Course Title]],'TSD-Data'!$A$1:$E$56,3,FALSE)</f>
        <v>12JY</v>
      </c>
      <c r="E125" s="390" t="s">
        <v>212</v>
      </c>
      <c r="F125" s="391">
        <v>45684</v>
      </c>
      <c r="G125" s="391">
        <v>45688</v>
      </c>
      <c r="H125" s="370">
        <v>0.33333333333333331</v>
      </c>
      <c r="I125" s="392"/>
      <c r="J125" s="393"/>
      <c r="K125" s="393"/>
      <c r="L125" s="393"/>
      <c r="M125" s="393"/>
      <c r="N125" s="393"/>
      <c r="O125" s="389" t="s">
        <v>314</v>
      </c>
      <c r="P125" s="389"/>
      <c r="Q125" s="365"/>
      <c r="R125" s="372">
        <f>VLOOKUP(Table2[[#This Row],[Course Title]],'TSD-Data'!$A$1:$E$56,4,FALSE)</f>
        <v>25</v>
      </c>
      <c r="S125" s="372">
        <f>VLOOKUP(Table2[[#This Row],[Course Title]],'TSD-Data'!$A$1:$F$53,6,FALSE)</f>
        <v>40</v>
      </c>
      <c r="T125" s="372">
        <f>VLOOKUP(Table2[[#This Row],[Course Title]],'TSD-Data'!$A$1:$E$56,5,FALSE)</f>
        <v>5</v>
      </c>
      <c r="U125" s="372">
        <v>248</v>
      </c>
      <c r="V125" s="372">
        <f ca="1">Table2[[#This Row],[Quotas]]-Table2[[#This Row],[Open Quotas]]</f>
        <v>0</v>
      </c>
      <c r="W125" s="372">
        <v>1</v>
      </c>
      <c r="X125" s="372">
        <v>23</v>
      </c>
      <c r="Y125" s="394">
        <v>0</v>
      </c>
      <c r="Z125" s="372">
        <v>3</v>
      </c>
      <c r="AA125" s="372">
        <v>2</v>
      </c>
      <c r="AB125" s="395">
        <v>0</v>
      </c>
      <c r="AC125" s="372" t="s">
        <v>291</v>
      </c>
      <c r="AD125" s="394">
        <f ca="1">Table2[[#This Row],[End Date]]+2-TODAY()</f>
        <v>-87</v>
      </c>
      <c r="AE125" s="372">
        <f>IF(ISBLANK(Table2[[#This Row],[Received by]]),1,0)</f>
        <v>0</v>
      </c>
      <c r="AF125" s="372">
        <f ca="1">IF(Table2[[#This Row],[Start Date]]&gt;TODAY(),1,)</f>
        <v>0</v>
      </c>
      <c r="AG125" s="372">
        <f>IF(ISBLANK(Table2[[#This Row],[Primary Instructor]]),0,1)</f>
        <v>1</v>
      </c>
      <c r="AH125" s="372">
        <f>IF(ISBLANK(Table2[[#This Row],[Instructor 2]]),0,1)</f>
        <v>0</v>
      </c>
      <c r="AI125" s="372">
        <f>Table2[[#This Row],[Course Length (Hours)]]/(SUM(Table2[[#This Row],[1]:[2]]))</f>
        <v>40</v>
      </c>
      <c r="AJ125" s="372">
        <f ca="1">Table2[[#This Row],[Quotas]]-Table2[[#This Row],[Registered]]</f>
        <v>0</v>
      </c>
      <c r="AK125" s="396">
        <v>2</v>
      </c>
    </row>
    <row r="126" spans="1:37" s="373" customFormat="1" x14ac:dyDescent="0.25">
      <c r="A126" s="389"/>
      <c r="B126" s="390" t="s">
        <v>55</v>
      </c>
      <c r="C126" s="367" t="str">
        <f>VLOOKUP(Table2[[#This Row],[Course Title]],'TSD-Data'!$A$1:$E$56,2,FALSE)</f>
        <v>A-493-0103</v>
      </c>
      <c r="D126" s="367" t="str">
        <f>VLOOKUP(Table2[[#This Row],[Course Title]],'TSD-Data'!$A$1:$E$56,3,FALSE)</f>
        <v>12JY</v>
      </c>
      <c r="E126" s="390" t="s">
        <v>192</v>
      </c>
      <c r="F126" s="391">
        <v>45684</v>
      </c>
      <c r="G126" s="391">
        <v>45688</v>
      </c>
      <c r="H126" s="370">
        <v>0.33333333333333331</v>
      </c>
      <c r="I126" s="381"/>
      <c r="J126" s="404"/>
      <c r="K126" s="398"/>
      <c r="L126" s="398"/>
      <c r="M126" s="398"/>
      <c r="N126" s="398"/>
      <c r="O126" s="389" t="s">
        <v>314</v>
      </c>
      <c r="P126" s="389"/>
      <c r="Q126" s="365"/>
      <c r="R126" s="372">
        <f>VLOOKUP(Table2[[#This Row],[Course Title]],'TSD-Data'!$A$1:$E$56,4,FALSE)</f>
        <v>25</v>
      </c>
      <c r="S126" s="372">
        <f>VLOOKUP(Table2[[#This Row],[Course Title]],'TSD-Data'!$A$1:$F$53,6,FALSE)</f>
        <v>40</v>
      </c>
      <c r="T126" s="372">
        <f>VLOOKUP(Table2[[#This Row],[Course Title]],'TSD-Data'!$A$1:$E$56,5,FALSE)</f>
        <v>5</v>
      </c>
      <c r="U126" s="372">
        <v>86</v>
      </c>
      <c r="V126" s="372">
        <f ca="1">Table2[[#This Row],[Quotas]]-Table2[[#This Row],[Open Quotas]]</f>
        <v>0</v>
      </c>
      <c r="W126" s="372">
        <v>0</v>
      </c>
      <c r="X126" s="372">
        <v>24</v>
      </c>
      <c r="Y126" s="394">
        <v>0</v>
      </c>
      <c r="Z126" s="372">
        <v>1</v>
      </c>
      <c r="AA126" s="372">
        <v>0</v>
      </c>
      <c r="AB126" s="372">
        <v>0</v>
      </c>
      <c r="AC126" s="372" t="s">
        <v>291</v>
      </c>
      <c r="AD126" s="394">
        <f ca="1">Table2[[#This Row],[End Date]]+2-TODAY()</f>
        <v>-87</v>
      </c>
      <c r="AE126" s="372">
        <f>IF(ISBLANK(Table2[[#This Row],[Received by]]),1,0)</f>
        <v>0</v>
      </c>
      <c r="AF126" s="372">
        <f ca="1">IF(Table2[[#This Row],[Start Date]]&gt;TODAY(),1,)</f>
        <v>0</v>
      </c>
      <c r="AG126" s="372">
        <f>IF(ISBLANK(Table2[[#This Row],[Primary Instructor]]),0,1)</f>
        <v>1</v>
      </c>
      <c r="AH126" s="372">
        <f>IF(ISBLANK(Table2[[#This Row],[Instructor 2]]),0,1)</f>
        <v>0</v>
      </c>
      <c r="AI126" s="372">
        <f>Table2[[#This Row],[Course Length (Hours)]]/(SUM(Table2[[#This Row],[1]:[2]]))</f>
        <v>40</v>
      </c>
      <c r="AJ126" s="372">
        <f ca="1">Table2[[#This Row],[Quotas]]-Table2[[#This Row],[Registered]]</f>
        <v>1</v>
      </c>
      <c r="AK126" s="396">
        <v>2</v>
      </c>
    </row>
    <row r="127" spans="1:37" s="373" customFormat="1" x14ac:dyDescent="0.25">
      <c r="A127" s="389"/>
      <c r="B127" s="399" t="s">
        <v>120</v>
      </c>
      <c r="C127" s="367" t="str">
        <f>VLOOKUP(Table2[[#This Row],[Course Title]],'TSD-Data'!$A$1:$E$56,2,FALSE)</f>
        <v>A-322-2604</v>
      </c>
      <c r="D127" s="367" t="str">
        <f>VLOOKUP(Table2[[#This Row],[Course Title]],'TSD-Data'!$A$1:$E$56,3,FALSE)</f>
        <v>10ZZ</v>
      </c>
      <c r="E127" s="390" t="s">
        <v>86</v>
      </c>
      <c r="F127" s="391">
        <v>45684</v>
      </c>
      <c r="G127" s="391">
        <v>45686</v>
      </c>
      <c r="H127" s="397"/>
      <c r="I127" s="381">
        <v>0.5</v>
      </c>
      <c r="J127" s="381">
        <v>0.375</v>
      </c>
      <c r="K127" s="381">
        <v>0.83333333333333337</v>
      </c>
      <c r="L127" s="381">
        <v>0.75</v>
      </c>
      <c r="M127" s="381">
        <v>0.29166666666666669</v>
      </c>
      <c r="N127" s="381">
        <v>8.3333333333333329E-2</v>
      </c>
      <c r="O127" s="389" t="s">
        <v>288</v>
      </c>
      <c r="P127" s="389" t="s">
        <v>286</v>
      </c>
      <c r="Q127" s="365"/>
      <c r="R127" s="372">
        <f>VLOOKUP(Table2[[#This Row],[Course Title]],'TSD-Data'!$A$1:$E$56,4,FALSE)</f>
        <v>45</v>
      </c>
      <c r="S127" s="372">
        <f>VLOOKUP(Table2[[#This Row],[Course Title]],'TSD-Data'!$A$1:$F$53,6,FALSE)</f>
        <v>24</v>
      </c>
      <c r="T127" s="372">
        <f>VLOOKUP(Table2[[#This Row],[Course Title]],'TSD-Data'!$A$1:$E$56,5,FALSE)</f>
        <v>3</v>
      </c>
      <c r="U127" s="372">
        <v>634</v>
      </c>
      <c r="V127" s="400">
        <f ca="1">Table2[[#This Row],[Quotas]]-Table2[[#This Row],[Open Quotas]]</f>
        <v>0</v>
      </c>
      <c r="W127" s="372">
        <v>4</v>
      </c>
      <c r="X127" s="372">
        <v>36</v>
      </c>
      <c r="Y127" s="394">
        <v>2</v>
      </c>
      <c r="Z127" s="372">
        <v>8</v>
      </c>
      <c r="AA127" s="372">
        <v>1</v>
      </c>
      <c r="AB127" s="367">
        <v>0</v>
      </c>
      <c r="AC127" s="372" t="s">
        <v>281</v>
      </c>
      <c r="AD127" s="394">
        <f ca="1">Table2[[#This Row],[End Date]]+2-TODAY()</f>
        <v>-89</v>
      </c>
      <c r="AE127" s="372">
        <f>IF(ISBLANK(Table2[[#This Row],[Received by]]),1,0)</f>
        <v>0</v>
      </c>
      <c r="AF127" s="372">
        <f ca="1">IF(Table2[[#This Row],[Start Date]]&gt;TODAY(),1,)</f>
        <v>0</v>
      </c>
      <c r="AG127" s="372">
        <f>IF(ISBLANK(Table2[[#This Row],[Primary Instructor]]),0,1)</f>
        <v>1</v>
      </c>
      <c r="AH127" s="372">
        <f>IF(ISBLANK(Table2[[#This Row],[Instructor 2]]),0,1)</f>
        <v>1</v>
      </c>
      <c r="AI127" s="372">
        <f>Table2[[#This Row],[Course Length (Hours)]]/(SUM(Table2[[#This Row],[1]:[2]]))</f>
        <v>12</v>
      </c>
      <c r="AJ127" s="372">
        <f ca="1">Table2[[#This Row],[Quotas]]-Table2[[#This Row],[Registered]]</f>
        <v>1</v>
      </c>
      <c r="AK127" s="396">
        <v>2</v>
      </c>
    </row>
    <row r="128" spans="1:37" s="373" customFormat="1" x14ac:dyDescent="0.25">
      <c r="A128" s="389"/>
      <c r="B128" s="390" t="s">
        <v>61</v>
      </c>
      <c r="C128" s="367" t="str">
        <f>VLOOKUP(Table2[[#This Row],[Course Title]],'TSD-Data'!$A$1:$E$56,2,FALSE)</f>
        <v>A-493-0078</v>
      </c>
      <c r="D128" s="367">
        <f>VLOOKUP(Table2[[#This Row],[Course Title]],'TSD-Data'!$A$1:$E$56,3,FALSE)</f>
        <v>1228</v>
      </c>
      <c r="E128" s="390" t="s">
        <v>86</v>
      </c>
      <c r="F128" s="368">
        <v>45684</v>
      </c>
      <c r="G128" s="368">
        <v>45687</v>
      </c>
      <c r="H128" s="370"/>
      <c r="I128" s="381">
        <v>0.5</v>
      </c>
      <c r="J128" s="381">
        <v>0.375</v>
      </c>
      <c r="K128" s="381">
        <v>0.83333333333333337</v>
      </c>
      <c r="L128" s="381">
        <v>0.75</v>
      </c>
      <c r="M128" s="381">
        <v>0.29166666666666669</v>
      </c>
      <c r="N128" s="381">
        <v>8.3333333333333329E-2</v>
      </c>
      <c r="O128" s="389" t="s">
        <v>304</v>
      </c>
      <c r="P128" s="389"/>
      <c r="Q128" s="365"/>
      <c r="R128" s="372">
        <f>VLOOKUP(Table2[[#This Row],[Course Title]],'TSD-Data'!$A$1:$E$56,4,FALSE)</f>
        <v>45</v>
      </c>
      <c r="S128" s="372">
        <f>VLOOKUP(Table2[[#This Row],[Course Title]],'TSD-Data'!$A$1:$F$53,6,FALSE)</f>
        <v>32</v>
      </c>
      <c r="T128" s="372">
        <f>VLOOKUP(Table2[[#This Row],[Course Title]],'TSD-Data'!$A$1:$E$56,5,FALSE)</f>
        <v>4</v>
      </c>
      <c r="U128" s="372">
        <v>840</v>
      </c>
      <c r="V128" s="372">
        <f ca="1">Table2[[#This Row],[Quotas]]-Table2[[#This Row],[Open Quotas]]</f>
        <v>0</v>
      </c>
      <c r="W128" s="372">
        <v>2</v>
      </c>
      <c r="X128" s="372">
        <v>44</v>
      </c>
      <c r="Y128" s="394">
        <v>0</v>
      </c>
      <c r="Z128" s="372">
        <v>3</v>
      </c>
      <c r="AA128" s="372">
        <v>0</v>
      </c>
      <c r="AB128" s="367">
        <v>0</v>
      </c>
      <c r="AC128" s="372" t="s">
        <v>291</v>
      </c>
      <c r="AD128" s="394">
        <f ca="1">Table2[[#This Row],[End Date]]+2-TODAY()</f>
        <v>-88</v>
      </c>
      <c r="AE128" s="372">
        <f>IF(ISBLANK(Table2[[#This Row],[Received by]]),1,0)</f>
        <v>0</v>
      </c>
      <c r="AF128" s="372">
        <f ca="1">IF(Table2[[#This Row],[Start Date]]&gt;TODAY(),1,)</f>
        <v>0</v>
      </c>
      <c r="AG128" s="372">
        <f>IF(ISBLANK(Table2[[#This Row],[Primary Instructor]]),0,1)</f>
        <v>1</v>
      </c>
      <c r="AH128" s="372">
        <f>IF(ISBLANK(Table2[[#This Row],[Instructor 2]]),0,1)</f>
        <v>0</v>
      </c>
      <c r="AI128" s="372">
        <f>Table2[[#This Row],[Course Length (Hours)]]/(SUM(Table2[[#This Row],[1]:[2]]))</f>
        <v>32</v>
      </c>
      <c r="AJ128" s="372">
        <f ca="1">Table2[[#This Row],[Quotas]]-Table2[[#This Row],[Registered]]</f>
        <v>2</v>
      </c>
      <c r="AK128" s="396">
        <v>2</v>
      </c>
    </row>
    <row r="129" spans="1:37" s="373" customFormat="1" x14ac:dyDescent="0.25">
      <c r="A129" s="374"/>
      <c r="B129" s="399" t="s">
        <v>39</v>
      </c>
      <c r="C129" s="374" t="str">
        <f>VLOOKUP(Table2[[#This Row],[Course Title]],'TSD-Data'!$A$1:$E$56,2,FALSE)</f>
        <v>A-570-0100</v>
      </c>
      <c r="D129" s="374" t="str">
        <f>VLOOKUP(Table2[[#This Row],[Course Title]],'TSD-Data'!$A$1:$E$56,3,FALSE)</f>
        <v>18B7</v>
      </c>
      <c r="E129" s="399" t="s">
        <v>86</v>
      </c>
      <c r="F129" s="391">
        <v>45684</v>
      </c>
      <c r="G129" s="391">
        <v>45685</v>
      </c>
      <c r="H129" s="377"/>
      <c r="I129" s="377">
        <v>0.33333333333333331</v>
      </c>
      <c r="J129" s="377">
        <v>0.20833333333333334</v>
      </c>
      <c r="K129" s="377">
        <v>0.66666666666666663</v>
      </c>
      <c r="L129" s="377">
        <v>0.58333333333333337</v>
      </c>
      <c r="M129" s="377">
        <v>0.125</v>
      </c>
      <c r="N129" s="377">
        <v>0.91666666666666663</v>
      </c>
      <c r="O129" s="401" t="s">
        <v>272</v>
      </c>
      <c r="P129" s="401"/>
      <c r="Q129" s="365"/>
      <c r="R129" s="378">
        <f>VLOOKUP(Table2[[#This Row],[Course Title]],'TSD-Data'!$A$1:$E$56,4,FALSE)</f>
        <v>45</v>
      </c>
      <c r="S129" s="378">
        <f>VLOOKUP(Table2[[#This Row],[Course Title]],'TSD-Data'!$A$1:$F$53,6,FALSE)</f>
        <v>16</v>
      </c>
      <c r="T129" s="378">
        <f>VLOOKUP(Table2[[#This Row],[Course Title]],'TSD-Data'!$A$1:$E$56,5,FALSE)</f>
        <v>2</v>
      </c>
      <c r="U129" s="378">
        <v>621</v>
      </c>
      <c r="V129" s="378">
        <f ca="1">Table2[[#This Row],[Quotas]]-Table2[[#This Row],[Open Quotas]]</f>
        <v>0</v>
      </c>
      <c r="W129" s="378">
        <v>0</v>
      </c>
      <c r="X129" s="402">
        <v>20</v>
      </c>
      <c r="Y129" s="402">
        <v>2</v>
      </c>
      <c r="Z129" s="374">
        <v>4</v>
      </c>
      <c r="AA129" s="374">
        <v>1</v>
      </c>
      <c r="AB129" s="402">
        <v>0</v>
      </c>
      <c r="AC129" s="378" t="s">
        <v>287</v>
      </c>
      <c r="AD129" s="403">
        <f ca="1">Table2[[#This Row],[End Date]]+2-TODAY()</f>
        <v>-90</v>
      </c>
      <c r="AE129" s="378">
        <f>IF(ISBLANK(Table2[[#This Row],[Received by]]),1,0)</f>
        <v>0</v>
      </c>
      <c r="AF129" s="378">
        <f ca="1">IF(Table2[[#This Row],[Start Date]]&gt;TODAY(),1,)</f>
        <v>0</v>
      </c>
      <c r="AG129" s="378">
        <f>IF(ISBLANK(Table2[[#This Row],[Primary Instructor]]),0,1)</f>
        <v>1</v>
      </c>
      <c r="AH129" s="378">
        <f>IF(ISBLANK(Table2[[#This Row],[Instructor 2]]),0,1)</f>
        <v>0</v>
      </c>
      <c r="AI129" s="378">
        <f>Table2[[#This Row],[Course Length (Hours)]]/(SUM(Table2[[#This Row],[1]:[2]]))</f>
        <v>16</v>
      </c>
      <c r="AJ129" s="378">
        <f ca="1">Table2[[#This Row],[Quotas]]-Table2[[#This Row],[Registered]]</f>
        <v>20</v>
      </c>
      <c r="AK129" s="526">
        <v>2</v>
      </c>
    </row>
    <row r="130" spans="1:37" s="373" customFormat="1" x14ac:dyDescent="0.25">
      <c r="A130" s="401"/>
      <c r="B130" s="399" t="s">
        <v>53</v>
      </c>
      <c r="C130" s="374" t="str">
        <f>VLOOKUP(Table2[[#This Row],[Course Title]],'TSD-Data'!$A$1:$E$56,2,FALSE)</f>
        <v>A-493-0072</v>
      </c>
      <c r="D130" s="374" t="str">
        <f>VLOOKUP(Table2[[#This Row],[Course Title]],'TSD-Data'!$A$1:$E$56,3,FALSE)</f>
        <v>713U</v>
      </c>
      <c r="E130" s="399" t="s">
        <v>188</v>
      </c>
      <c r="F130" s="391">
        <v>45684</v>
      </c>
      <c r="G130" s="391">
        <v>45688</v>
      </c>
      <c r="H130" s="377">
        <v>0.33333333333333331</v>
      </c>
      <c r="I130" s="404"/>
      <c r="J130" s="404"/>
      <c r="K130" s="404"/>
      <c r="L130" s="404"/>
      <c r="M130" s="404"/>
      <c r="N130" s="404"/>
      <c r="O130" s="401" t="s">
        <v>315</v>
      </c>
      <c r="P130" s="401" t="s">
        <v>277</v>
      </c>
      <c r="Q130" s="365"/>
      <c r="R130" s="378">
        <f>VLOOKUP(Table2[[#This Row],[Course Title]],'TSD-Data'!$A$1:$E$56,4,FALSE)</f>
        <v>30</v>
      </c>
      <c r="S130" s="378">
        <f>VLOOKUP(Table2[[#This Row],[Course Title]],'TSD-Data'!$A$1:$F$53,6,FALSE)</f>
        <v>40</v>
      </c>
      <c r="T130" s="378">
        <f>VLOOKUP(Table2[[#This Row],[Course Title]],'TSD-Data'!$A$1:$E$56,5,FALSE)</f>
        <v>5</v>
      </c>
      <c r="U130" s="378">
        <v>41</v>
      </c>
      <c r="V130" s="378">
        <f ca="1">Table2[[#This Row],[Quotas]]-Table2[[#This Row],[Open Quotas]]</f>
        <v>0</v>
      </c>
      <c r="W130" s="378">
        <v>0</v>
      </c>
      <c r="X130" s="378">
        <v>18</v>
      </c>
      <c r="Y130" s="403">
        <v>0</v>
      </c>
      <c r="Z130" s="378">
        <v>0</v>
      </c>
      <c r="AA130" s="378">
        <v>0</v>
      </c>
      <c r="AB130" s="374">
        <v>0</v>
      </c>
      <c r="AC130" s="378" t="s">
        <v>281</v>
      </c>
      <c r="AD130" s="403">
        <f ca="1">Table2[[#This Row],[End Date]]+2-TODAY()</f>
        <v>-87</v>
      </c>
      <c r="AE130" s="378">
        <f>IF(ISBLANK(Table2[[#This Row],[Received by]]),1,0)</f>
        <v>0</v>
      </c>
      <c r="AF130" s="378">
        <f ca="1">IF(Table2[[#This Row],[Start Date]]&gt;TODAY(),1,)</f>
        <v>0</v>
      </c>
      <c r="AG130" s="378">
        <f>IF(ISBLANK(Table2[[#This Row],[Primary Instructor]]),0,1)</f>
        <v>1</v>
      </c>
      <c r="AH130" s="378">
        <f>IF(ISBLANK(Table2[[#This Row],[Instructor 2]]),0,1)</f>
        <v>1</v>
      </c>
      <c r="AI130" s="378">
        <f>Table2[[#This Row],[Course Length (Hours)]]/(SUM(Table2[[#This Row],[1]:[2]]))</f>
        <v>20</v>
      </c>
      <c r="AJ130" s="378">
        <f ca="1">Table2[[#This Row],[Quotas]]-Table2[[#This Row],[Registered]]</f>
        <v>11</v>
      </c>
      <c r="AK130" s="526">
        <v>2</v>
      </c>
    </row>
    <row r="131" spans="1:37" s="373" customFormat="1" x14ac:dyDescent="0.25">
      <c r="A131" s="374"/>
      <c r="B131" s="399" t="s">
        <v>40</v>
      </c>
      <c r="C131" s="374" t="str">
        <f>VLOOKUP(Table2[[#This Row],[Course Title]],'TSD-Data'!$A$1:$E$56,2,FALSE)</f>
        <v>A-493-2098</v>
      </c>
      <c r="D131" s="374" t="str">
        <f>VLOOKUP(Table2[[#This Row],[Course Title]],'TSD-Data'!$A$1:$E$56,3,FALSE)</f>
        <v>09WW</v>
      </c>
      <c r="E131" s="399" t="s">
        <v>86</v>
      </c>
      <c r="F131" s="391">
        <v>45684</v>
      </c>
      <c r="G131" s="391">
        <v>45685</v>
      </c>
      <c r="H131" s="377"/>
      <c r="I131" s="380">
        <v>0.5</v>
      </c>
      <c r="J131" s="380">
        <v>0.375</v>
      </c>
      <c r="K131" s="380">
        <v>0.83333333333333337</v>
      </c>
      <c r="L131" s="380">
        <v>0.75</v>
      </c>
      <c r="M131" s="380">
        <v>0.29166666666666669</v>
      </c>
      <c r="N131" s="380">
        <v>8.3333333333333329E-2</v>
      </c>
      <c r="O131" s="401" t="s">
        <v>272</v>
      </c>
      <c r="P131" s="401"/>
      <c r="Q131" s="365"/>
      <c r="R131" s="378">
        <f>VLOOKUP(Table2[[#This Row],[Course Title]],'TSD-Data'!$A$1:$E$56,4,FALSE)</f>
        <v>100</v>
      </c>
      <c r="S131" s="378">
        <f>VLOOKUP(Table2[[#This Row],[Course Title]],'TSD-Data'!$A$1:$F$53,6,FALSE)</f>
        <v>16</v>
      </c>
      <c r="T131" s="378">
        <f>VLOOKUP(Table2[[#This Row],[Course Title]],'TSD-Data'!$A$1:$E$56,5,FALSE)</f>
        <v>2</v>
      </c>
      <c r="U131" s="378">
        <v>722</v>
      </c>
      <c r="V131" s="378">
        <f ca="1">Table2[[#This Row],[Quotas]]-Table2[[#This Row],[Open Quotas]]</f>
        <v>0</v>
      </c>
      <c r="W131" s="378">
        <v>5</v>
      </c>
      <c r="X131" s="402">
        <v>77</v>
      </c>
      <c r="Y131" s="402">
        <v>3</v>
      </c>
      <c r="Z131" s="374">
        <v>21</v>
      </c>
      <c r="AA131" s="374">
        <v>3</v>
      </c>
      <c r="AB131" s="402"/>
      <c r="AC131" s="378" t="s">
        <v>287</v>
      </c>
      <c r="AD131" s="403">
        <f ca="1">Table2[[#This Row],[End Date]]+2-TODAY()</f>
        <v>-90</v>
      </c>
      <c r="AE131" s="378">
        <f>IF(ISBLANK(Table2[[#This Row],[Received by]]),1,0)</f>
        <v>0</v>
      </c>
      <c r="AF131" s="378">
        <f ca="1">IF(Table2[[#This Row],[Start Date]]&gt;TODAY(),1,)</f>
        <v>0</v>
      </c>
      <c r="AG131" s="378">
        <f>IF(ISBLANK(Table2[[#This Row],[Primary Instructor]]),0,1)</f>
        <v>1</v>
      </c>
      <c r="AH131" s="378">
        <f>IF(ISBLANK(Table2[[#This Row],[Instructor 2]]),0,1)</f>
        <v>0</v>
      </c>
      <c r="AI131" s="378">
        <f>Table2[[#This Row],[Course Length (Hours)]]/(SUM(Table2[[#This Row],[1]:[2]]))</f>
        <v>16</v>
      </c>
      <c r="AJ131" s="378">
        <f ca="1">Table2[[#This Row],[Quotas]]-Table2[[#This Row],[Registered]]</f>
        <v>0</v>
      </c>
      <c r="AK131" s="526">
        <v>2</v>
      </c>
    </row>
    <row r="132" spans="1:37" s="373" customFormat="1" x14ac:dyDescent="0.25">
      <c r="A132" s="390" t="s">
        <v>469</v>
      </c>
      <c r="B132" s="390" t="s">
        <v>28</v>
      </c>
      <c r="C132" s="367" t="str">
        <f>VLOOKUP(Table2[[#This Row],[Course Title]],'TSD-Data'!$A$1:$E$56,2,FALSE)</f>
        <v>A-493-0013</v>
      </c>
      <c r="D132" s="367">
        <f>VLOOKUP(Table2[[#This Row],[Course Title]],'TSD-Data'!$A$1:$E$56,3,FALSE)</f>
        <v>3683</v>
      </c>
      <c r="E132" s="390" t="s">
        <v>158</v>
      </c>
      <c r="F132" s="397">
        <v>45685</v>
      </c>
      <c r="G132" s="397">
        <v>45687</v>
      </c>
      <c r="H132" s="370">
        <v>0.33333333333333331</v>
      </c>
      <c r="I132" s="398"/>
      <c r="J132" s="398"/>
      <c r="K132" s="398"/>
      <c r="L132" s="398"/>
      <c r="M132" s="398"/>
      <c r="N132" s="398"/>
      <c r="O132" s="389" t="s">
        <v>280</v>
      </c>
      <c r="P132" s="389"/>
      <c r="Q132" s="365"/>
      <c r="R132" s="372">
        <f>VLOOKUP(Table2[[#This Row],[Course Title]],'TSD-Data'!$A$1:$E$56,4,FALSE)</f>
        <v>40</v>
      </c>
      <c r="S132" s="372">
        <f>VLOOKUP(Table2[[#This Row],[Course Title]],'TSD-Data'!$A$1:$F$53,6,FALSE)</f>
        <v>24</v>
      </c>
      <c r="T132" s="372">
        <f>VLOOKUP(Table2[[#This Row],[Course Title]],'TSD-Data'!$A$1:$E$56,5,FALSE)</f>
        <v>3</v>
      </c>
      <c r="U132" s="372">
        <v>20</v>
      </c>
      <c r="V132" s="372">
        <f ca="1">Table2[[#This Row],[Quotas]]-Table2[[#This Row],[Open Quotas]]</f>
        <v>0</v>
      </c>
      <c r="W132" s="372">
        <v>0</v>
      </c>
      <c r="X132" s="372">
        <v>13</v>
      </c>
      <c r="Y132" s="394">
        <v>0</v>
      </c>
      <c r="Z132" s="372">
        <v>0</v>
      </c>
      <c r="AA132" s="372">
        <v>3</v>
      </c>
      <c r="AB132" s="367">
        <v>0</v>
      </c>
      <c r="AC132" s="372" t="s">
        <v>287</v>
      </c>
      <c r="AD132" s="394">
        <f ca="1">Table2[[#This Row],[End Date]]+2-TODAY()</f>
        <v>-88</v>
      </c>
      <c r="AE132" s="372">
        <f>IF(ISBLANK(Table2[[#This Row],[Received by]]),1,0)</f>
        <v>0</v>
      </c>
      <c r="AF132" s="372">
        <f ca="1">IF(Table2[[#This Row],[Start Date]]&gt;TODAY(),1,)</f>
        <v>0</v>
      </c>
      <c r="AG132" s="372">
        <f>IF(ISBLANK(Table2[[#This Row],[Primary Instructor]]),0,1)</f>
        <v>1</v>
      </c>
      <c r="AH132" s="372">
        <f>IF(ISBLANK(Table2[[#This Row],[Instructor 2]]),0,1)</f>
        <v>0</v>
      </c>
      <c r="AI132" s="372">
        <f>Table2[[#This Row],[Course Length (Hours)]]/(SUM(Table2[[#This Row],[1]:[2]]))</f>
        <v>24</v>
      </c>
      <c r="AJ132" s="372">
        <f ca="1">Table2[[#This Row],[Quotas]]-Table2[[#This Row],[Registered]]</f>
        <v>27</v>
      </c>
      <c r="AK132" s="396">
        <v>2</v>
      </c>
    </row>
    <row r="133" spans="1:37" s="373" customFormat="1" x14ac:dyDescent="0.25">
      <c r="A133" s="367"/>
      <c r="B133" s="399" t="s">
        <v>57</v>
      </c>
      <c r="C133" s="367" t="str">
        <f>VLOOKUP(Table2[[#This Row],[Course Title]],'TSD-Data'!$A$1:$E$56,2,FALSE)</f>
        <v>A-493-0099</v>
      </c>
      <c r="D133" s="367" t="str">
        <f>VLOOKUP(Table2[[#This Row],[Course Title]],'TSD-Data'!$A$1:$E$56,3,FALSE)</f>
        <v>12JW</v>
      </c>
      <c r="E133" s="405" t="s">
        <v>86</v>
      </c>
      <c r="F133" s="406">
        <v>45685</v>
      </c>
      <c r="G133" s="406">
        <v>45687</v>
      </c>
      <c r="H133" s="379"/>
      <c r="I133" s="379">
        <v>0.41666666666666669</v>
      </c>
      <c r="J133" s="371">
        <v>0.29166666666666669</v>
      </c>
      <c r="K133" s="371">
        <v>0.75</v>
      </c>
      <c r="L133" s="371">
        <v>0.66666666666666663</v>
      </c>
      <c r="M133" s="371">
        <v>0.20833333333333334</v>
      </c>
      <c r="N133" s="371">
        <v>0.95833333333333337</v>
      </c>
      <c r="O133" s="407" t="s">
        <v>305</v>
      </c>
      <c r="P133" s="389"/>
      <c r="Q133" s="365"/>
      <c r="R133" s="372">
        <f>VLOOKUP(Table2[[#This Row],[Course Title]],'TSD-Data'!$A$1:$E$56,4,FALSE)</f>
        <v>45</v>
      </c>
      <c r="S133" s="372">
        <f>VLOOKUP(Table2[[#This Row],[Course Title]],'TSD-Data'!$A$1:$F$53,6,FALSE)</f>
        <v>24</v>
      </c>
      <c r="T133" s="372">
        <f>VLOOKUP(Table2[[#This Row],[Course Title]],'TSD-Data'!$A$1:$E$56,5,FALSE)</f>
        <v>3</v>
      </c>
      <c r="U133" s="372">
        <v>334</v>
      </c>
      <c r="V133" s="372">
        <f ca="1">Table2[[#This Row],[Quotas]]-Table2[[#This Row],[Open Quotas]]</f>
        <v>0</v>
      </c>
      <c r="W133" s="372">
        <v>1</v>
      </c>
      <c r="X133" s="395">
        <v>39</v>
      </c>
      <c r="Y133" s="395">
        <v>0</v>
      </c>
      <c r="Z133" s="367">
        <v>6</v>
      </c>
      <c r="AA133" s="367">
        <v>0</v>
      </c>
      <c r="AB133" s="395">
        <v>0</v>
      </c>
      <c r="AC133" s="372" t="s">
        <v>291</v>
      </c>
      <c r="AD133" s="394">
        <f ca="1">Table2[[#This Row],[End Date]]+2-TODAY()</f>
        <v>-88</v>
      </c>
      <c r="AE133" s="372">
        <f>IF(ISBLANK(Table2[[#This Row],[Received by]]),1,0)</f>
        <v>0</v>
      </c>
      <c r="AF133" s="372">
        <f ca="1">IF(Table2[[#This Row],[Start Date]]&gt;TODAY(),1,)</f>
        <v>0</v>
      </c>
      <c r="AG133" s="372">
        <f>IF(ISBLANK(Table2[[#This Row],[Primary Instructor]]),0,1)</f>
        <v>1</v>
      </c>
      <c r="AH133" s="372">
        <f>IF(ISBLANK(Table2[[#This Row],[Instructor 2]]),0,1)</f>
        <v>0</v>
      </c>
      <c r="AI133" s="372">
        <f>Table2[[#This Row],[Course Length (Hours)]]/(SUM(Table2[[#This Row],[1]:[2]]))</f>
        <v>24</v>
      </c>
      <c r="AJ133" s="372">
        <f ca="1">Table2[[#This Row],[Quotas]]-Table2[[#This Row],[Registered]]</f>
        <v>2</v>
      </c>
      <c r="AK133" s="396">
        <v>2</v>
      </c>
    </row>
    <row r="134" spans="1:37" s="408" customFormat="1" x14ac:dyDescent="0.25">
      <c r="A134" s="389"/>
      <c r="B134" s="399" t="s">
        <v>58</v>
      </c>
      <c r="C134" s="367" t="str">
        <f>VLOOKUP(Table2[[#This Row],[Course Title]],'TSD-Data'!$A$1:$E$56,2,FALSE)</f>
        <v xml:space="preserve">A-493-0075 </v>
      </c>
      <c r="D134" s="367" t="str">
        <f>VLOOKUP(Table2[[#This Row],[Course Title]],'TSD-Data'!$A$1:$E$56,3,FALSE)</f>
        <v>714U</v>
      </c>
      <c r="E134" s="390" t="s">
        <v>192</v>
      </c>
      <c r="F134" s="397">
        <v>45685</v>
      </c>
      <c r="G134" s="397">
        <v>45688</v>
      </c>
      <c r="H134" s="370">
        <v>0.33333333333333331</v>
      </c>
      <c r="I134" s="381"/>
      <c r="J134" s="398"/>
      <c r="K134" s="398"/>
      <c r="L134" s="398"/>
      <c r="M134" s="398"/>
      <c r="N134" s="398"/>
      <c r="O134" s="389" t="s">
        <v>314</v>
      </c>
      <c r="P134" s="389"/>
      <c r="Q134" s="365"/>
      <c r="R134" s="372">
        <f>VLOOKUP(Table2[[#This Row],[Course Title]],'TSD-Data'!$A$1:$E$56,4,FALSE)</f>
        <v>30</v>
      </c>
      <c r="S134" s="372">
        <f>VLOOKUP(Table2[[#This Row],[Course Title]],'TSD-Data'!$A$1:$F$53,6,FALSE)</f>
        <v>32</v>
      </c>
      <c r="T134" s="372">
        <f>VLOOKUP(Table2[[#This Row],[Course Title]],'TSD-Data'!$A$1:$E$56,5,FALSE)</f>
        <v>4</v>
      </c>
      <c r="U134" s="372">
        <v>25</v>
      </c>
      <c r="V134" s="372">
        <f ca="1">Table2[[#This Row],[Quotas]]-Table2[[#This Row],[Open Quotas]]</f>
        <v>0</v>
      </c>
      <c r="W134" s="372">
        <v>0</v>
      </c>
      <c r="X134" s="372">
        <v>7</v>
      </c>
      <c r="Y134" s="394">
        <v>0</v>
      </c>
      <c r="Z134" s="372">
        <v>0</v>
      </c>
      <c r="AA134" s="372">
        <v>0</v>
      </c>
      <c r="AB134" s="372">
        <v>0</v>
      </c>
      <c r="AC134" s="372" t="s">
        <v>291</v>
      </c>
      <c r="AD134" s="394">
        <f ca="1">Table2[[#This Row],[End Date]]+2-TODAY()</f>
        <v>-87</v>
      </c>
      <c r="AE134" s="372">
        <f>IF(ISBLANK(Table2[[#This Row],[Received by]]),1,0)</f>
        <v>0</v>
      </c>
      <c r="AF134" s="372">
        <f ca="1">IF(Table2[[#This Row],[Start Date]]&gt;TODAY(),1,)</f>
        <v>0</v>
      </c>
      <c r="AG134" s="372">
        <f>IF(ISBLANK(Table2[[#This Row],[Primary Instructor]]),0,1)</f>
        <v>1</v>
      </c>
      <c r="AH134" s="372">
        <f>IF(ISBLANK(Table2[[#This Row],[Instructor 2]]),0,1)</f>
        <v>0</v>
      </c>
      <c r="AI134" s="372">
        <f>Table2[[#This Row],[Course Length (Hours)]]/(SUM(Table2[[#This Row],[1]:[2]]))</f>
        <v>32</v>
      </c>
      <c r="AJ134" s="372">
        <f ca="1">Table2[[#This Row],[Quotas]]-Table2[[#This Row],[Registered]]</f>
        <v>23</v>
      </c>
      <c r="AK134" s="396">
        <v>2</v>
      </c>
    </row>
    <row r="135" spans="1:37" s="373" customFormat="1" x14ac:dyDescent="0.25">
      <c r="A135" s="374"/>
      <c r="B135" s="399" t="s">
        <v>39</v>
      </c>
      <c r="C135" s="374" t="str">
        <f>VLOOKUP(Table2[[#This Row],[Course Title]],'TSD-Data'!$A$1:$E$56,2,FALSE)</f>
        <v>A-570-0100</v>
      </c>
      <c r="D135" s="374" t="str">
        <f>VLOOKUP(Table2[[#This Row],[Course Title]],'TSD-Data'!$A$1:$E$56,3,FALSE)</f>
        <v>18B7</v>
      </c>
      <c r="E135" s="399" t="s">
        <v>86</v>
      </c>
      <c r="F135" s="391">
        <v>45690</v>
      </c>
      <c r="G135" s="391">
        <v>45691</v>
      </c>
      <c r="H135" s="377"/>
      <c r="I135" s="377">
        <v>0.79166666666666663</v>
      </c>
      <c r="J135" s="380">
        <v>0.66666666666666663</v>
      </c>
      <c r="K135" s="380">
        <v>0.125</v>
      </c>
      <c r="L135" s="380">
        <v>4.1666666666666664E-2</v>
      </c>
      <c r="M135" s="380">
        <v>0.58333333333333337</v>
      </c>
      <c r="N135" s="380">
        <v>0.375</v>
      </c>
      <c r="O135" s="401" t="s">
        <v>272</v>
      </c>
      <c r="P135" s="401"/>
      <c r="Q135" s="365"/>
      <c r="R135" s="378">
        <f>VLOOKUP(Table2[[#This Row],[Course Title]],'TSD-Data'!$A$1:$E$56,4,FALSE)</f>
        <v>45</v>
      </c>
      <c r="S135" s="378">
        <f>VLOOKUP(Table2[[#This Row],[Course Title]],'TSD-Data'!$A$1:$F$53,6,FALSE)</f>
        <v>16</v>
      </c>
      <c r="T135" s="378">
        <f>VLOOKUP(Table2[[#This Row],[Course Title]],'TSD-Data'!$A$1:$E$56,5,FALSE)</f>
        <v>2</v>
      </c>
      <c r="U135" s="378">
        <v>132</v>
      </c>
      <c r="V135" s="378">
        <f>Table2[[#This Row],[Quotas]]-Table2[[#This Row],[Open Quotas]]</f>
        <v>8</v>
      </c>
      <c r="W135" s="378">
        <v>0</v>
      </c>
      <c r="X135" s="402">
        <v>7</v>
      </c>
      <c r="Y135" s="402">
        <v>0</v>
      </c>
      <c r="Z135" s="374">
        <v>1</v>
      </c>
      <c r="AA135" s="374">
        <v>0</v>
      </c>
      <c r="AB135" s="402">
        <v>0</v>
      </c>
      <c r="AC135" s="378" t="s">
        <v>287</v>
      </c>
      <c r="AD135" s="403">
        <f ca="1">Table2[[#This Row],[End Date]]+2-TODAY()</f>
        <v>-84</v>
      </c>
      <c r="AE135" s="378">
        <f>IF(ISBLANK(Table2[[#This Row],[Received by]]),1,0)</f>
        <v>0</v>
      </c>
      <c r="AF135" s="378">
        <f ca="1">IF(Table2[[#This Row],[Start Date]]&gt;TODAY(),1,)</f>
        <v>0</v>
      </c>
      <c r="AG135" s="378">
        <f>IF(ISBLANK(Table2[[#This Row],[Primary Instructor]]),0,1)</f>
        <v>1</v>
      </c>
      <c r="AH135" s="378">
        <f>IF(ISBLANK(Table2[[#This Row],[Instructor 2]]),0,1)</f>
        <v>0</v>
      </c>
      <c r="AI135" s="378">
        <f>Table2[[#This Row],[Course Length (Hours)]]/(SUM(Table2[[#This Row],[1]:[2]]))</f>
        <v>16</v>
      </c>
      <c r="AJ135" s="378">
        <v>37</v>
      </c>
      <c r="AK135" s="526">
        <v>2</v>
      </c>
    </row>
    <row r="136" spans="1:37" s="373" customFormat="1" x14ac:dyDescent="0.25">
      <c r="A136" s="389"/>
      <c r="B136" s="390" t="s">
        <v>37</v>
      </c>
      <c r="C136" s="367" t="str">
        <f>VLOOKUP(Table2[[#This Row],[Course Title]],'TSD-Data'!$A$1:$E$56,2,FALSE)</f>
        <v>A-493-0665</v>
      </c>
      <c r="D136" s="367" t="str">
        <f>VLOOKUP(Table2[[#This Row],[Course Title]],'TSD-Data'!$A$1:$E$56,3,FALSE)</f>
        <v>10KW</v>
      </c>
      <c r="E136" s="390" t="s">
        <v>86</v>
      </c>
      <c r="F136" s="397">
        <v>45691</v>
      </c>
      <c r="G136" s="397">
        <v>45693</v>
      </c>
      <c r="H136" s="370"/>
      <c r="I136" s="370">
        <v>0.33333333333333331</v>
      </c>
      <c r="J136" s="377">
        <v>0.20833333333333334</v>
      </c>
      <c r="K136" s="370">
        <v>0.66666666666666663</v>
      </c>
      <c r="L136" s="370">
        <v>0.58333333333333337</v>
      </c>
      <c r="M136" s="370">
        <v>0.125</v>
      </c>
      <c r="N136" s="370">
        <v>0.91666666666666663</v>
      </c>
      <c r="O136" s="389" t="s">
        <v>286</v>
      </c>
      <c r="P136" s="389"/>
      <c r="Q136" s="365"/>
      <c r="R136" s="372">
        <f>VLOOKUP(Table2[[#This Row],[Course Title]],'TSD-Data'!$A$1:$E$56,4,FALSE)</f>
        <v>45</v>
      </c>
      <c r="S136" s="372">
        <f>VLOOKUP(Table2[[#This Row],[Course Title]],'TSD-Data'!$A$1:$F$53,6,FALSE)</f>
        <v>24</v>
      </c>
      <c r="T136" s="372">
        <f>VLOOKUP(Table2[[#This Row],[Course Title]],'TSD-Data'!$A$1:$E$56,5,FALSE)</f>
        <v>3</v>
      </c>
      <c r="U136" s="372">
        <v>172</v>
      </c>
      <c r="V136" s="372">
        <f>Table2[[#This Row],[Quotas]]-Table2[[#This Row],[Open Quotas]]</f>
        <v>31</v>
      </c>
      <c r="W136" s="372">
        <v>0</v>
      </c>
      <c r="X136" s="372">
        <v>26</v>
      </c>
      <c r="Y136" s="394">
        <v>0</v>
      </c>
      <c r="Z136" s="372">
        <v>4</v>
      </c>
      <c r="AA136" s="372">
        <v>0</v>
      </c>
      <c r="AB136" s="367">
        <v>0</v>
      </c>
      <c r="AC136" s="372" t="s">
        <v>287</v>
      </c>
      <c r="AD136" s="394">
        <f ca="1">Table2[[#This Row],[End Date]]+2-TODAY()</f>
        <v>-82</v>
      </c>
      <c r="AE136" s="372">
        <f>IF(ISBLANK(Table2[[#This Row],[Received by]]),1,0)</f>
        <v>0</v>
      </c>
      <c r="AF136" s="372">
        <f ca="1">IF(Table2[[#This Row],[Start Date]]&gt;TODAY(),1,)</f>
        <v>0</v>
      </c>
      <c r="AG136" s="372">
        <f>IF(ISBLANK(Table2[[#This Row],[Primary Instructor]]),0,1)</f>
        <v>1</v>
      </c>
      <c r="AH136" s="372">
        <f>IF(ISBLANK(Table2[[#This Row],[Instructor 2]]),0,1)</f>
        <v>0</v>
      </c>
      <c r="AI136" s="372">
        <f>Table2[[#This Row],[Course Length (Hours)]]/(SUM(Table2[[#This Row],[1]:[2]]))</f>
        <v>24</v>
      </c>
      <c r="AJ136" s="372">
        <v>14</v>
      </c>
      <c r="AK136" s="396">
        <v>2</v>
      </c>
    </row>
    <row r="137" spans="1:37" s="373" customFormat="1" x14ac:dyDescent="0.25">
      <c r="A137" s="389"/>
      <c r="B137" s="390" t="s">
        <v>55</v>
      </c>
      <c r="C137" s="367" t="str">
        <f>VLOOKUP(Table2[[#This Row],[Course Title]],'TSD-Data'!$A$1:$E$56,2,FALSE)</f>
        <v>A-493-0103</v>
      </c>
      <c r="D137" s="367" t="str">
        <f>VLOOKUP(Table2[[#This Row],[Course Title]],'TSD-Data'!$A$1:$E$56,3,FALSE)</f>
        <v>12JY</v>
      </c>
      <c r="E137" s="365" t="s">
        <v>212</v>
      </c>
      <c r="F137" s="391">
        <v>45691</v>
      </c>
      <c r="G137" s="391">
        <v>45695</v>
      </c>
      <c r="H137" s="370">
        <v>0.33333333333333331</v>
      </c>
      <c r="I137" s="392"/>
      <c r="J137" s="393"/>
      <c r="K137" s="393"/>
      <c r="L137" s="393"/>
      <c r="M137" s="393"/>
      <c r="N137" s="393"/>
      <c r="O137" s="389" t="s">
        <v>314</v>
      </c>
      <c r="P137" s="389"/>
      <c r="Q137" s="365"/>
      <c r="R137" s="372">
        <f>VLOOKUP(Table2[[#This Row],[Course Title]],'TSD-Data'!$A$1:$E$56,4,FALSE)</f>
        <v>25</v>
      </c>
      <c r="S137" s="372">
        <f>VLOOKUP(Table2[[#This Row],[Course Title]],'TSD-Data'!$A$1:$F$53,6,FALSE)</f>
        <v>40</v>
      </c>
      <c r="T137" s="372">
        <f>VLOOKUP(Table2[[#This Row],[Course Title]],'TSD-Data'!$A$1:$E$56,5,FALSE)</f>
        <v>5</v>
      </c>
      <c r="U137" s="372">
        <v>248</v>
      </c>
      <c r="V137" s="372">
        <f>Table2[[#This Row],[Quotas]]-Table2[[#This Row],[Open Quotas]]</f>
        <v>24</v>
      </c>
      <c r="W137" s="372">
        <v>0</v>
      </c>
      <c r="X137" s="372">
        <v>19</v>
      </c>
      <c r="Y137" s="394">
        <v>0</v>
      </c>
      <c r="Z137" s="372">
        <v>7</v>
      </c>
      <c r="AA137" s="372">
        <v>0</v>
      </c>
      <c r="AB137" s="367">
        <v>0</v>
      </c>
      <c r="AC137" s="372" t="s">
        <v>291</v>
      </c>
      <c r="AD137" s="394">
        <f ca="1">Table2[[#This Row],[End Date]]+2-TODAY()</f>
        <v>-80</v>
      </c>
      <c r="AE137" s="372">
        <f>IF(ISBLANK(Table2[[#This Row],[Received by]]),1,0)</f>
        <v>0</v>
      </c>
      <c r="AF137" s="372">
        <f ca="1">IF(Table2[[#This Row],[Start Date]]&gt;TODAY(),1,)</f>
        <v>0</v>
      </c>
      <c r="AG137" s="372">
        <f>IF(ISBLANK(Table2[[#This Row],[Primary Instructor]]),0,1)</f>
        <v>1</v>
      </c>
      <c r="AH137" s="372">
        <f>IF(ISBLANK(Table2[[#This Row],[Instructor 2]]),0,1)</f>
        <v>0</v>
      </c>
      <c r="AI137" s="372">
        <f>Table2[[#This Row],[Course Length (Hours)]]/(SUM(Table2[[#This Row],[1]:[2]]))</f>
        <v>40</v>
      </c>
      <c r="AJ137" s="372">
        <v>1</v>
      </c>
      <c r="AK137" s="396">
        <v>2</v>
      </c>
    </row>
    <row r="138" spans="1:37" s="373" customFormat="1" x14ac:dyDescent="0.25">
      <c r="A138" s="389"/>
      <c r="B138" s="399" t="s">
        <v>55</v>
      </c>
      <c r="C138" s="367" t="str">
        <f>VLOOKUP(Table2[[#This Row],[Course Title]],'TSD-Data'!$A$1:$E$56,2,FALSE)</f>
        <v>A-493-0103</v>
      </c>
      <c r="D138" s="367" t="str">
        <f>VLOOKUP(Table2[[#This Row],[Course Title]],'TSD-Data'!$A$1:$E$56,3,FALSE)</f>
        <v>12JY</v>
      </c>
      <c r="E138" s="399" t="s">
        <v>192</v>
      </c>
      <c r="F138" s="391">
        <v>45691</v>
      </c>
      <c r="G138" s="391">
        <v>45695</v>
      </c>
      <c r="H138" s="377">
        <v>0.33333333333333331</v>
      </c>
      <c r="I138" s="380"/>
      <c r="J138" s="404"/>
      <c r="K138" s="404"/>
      <c r="L138" s="404"/>
      <c r="M138" s="404"/>
      <c r="N138" s="404"/>
      <c r="O138" s="401" t="s">
        <v>314</v>
      </c>
      <c r="P138" s="389"/>
      <c r="Q138" s="365"/>
      <c r="R138" s="372">
        <f>VLOOKUP(Table2[[#This Row],[Course Title]],'TSD-Data'!$A$1:$E$56,4,FALSE)</f>
        <v>25</v>
      </c>
      <c r="S138" s="372">
        <f>VLOOKUP(Table2[[#This Row],[Course Title]],'TSD-Data'!$A$1:$F$53,6,FALSE)</f>
        <v>40</v>
      </c>
      <c r="T138" s="372">
        <f>VLOOKUP(Table2[[#This Row],[Course Title]],'TSD-Data'!$A$1:$E$56,5,FALSE)</f>
        <v>5</v>
      </c>
      <c r="U138" s="372">
        <v>86</v>
      </c>
      <c r="V138" s="372">
        <f>Table2[[#This Row],[Quotas]]-Table2[[#This Row],[Open Quotas]]</f>
        <v>10</v>
      </c>
      <c r="W138" s="372">
        <v>0</v>
      </c>
      <c r="X138" s="372">
        <v>9</v>
      </c>
      <c r="Y138" s="394">
        <v>0</v>
      </c>
      <c r="Z138" s="372">
        <v>2</v>
      </c>
      <c r="AA138" s="372">
        <v>0</v>
      </c>
      <c r="AB138" s="372">
        <v>0</v>
      </c>
      <c r="AC138" s="372" t="s">
        <v>291</v>
      </c>
      <c r="AD138" s="394">
        <f ca="1">Table2[[#This Row],[End Date]]+2-TODAY()</f>
        <v>-80</v>
      </c>
      <c r="AE138" s="372">
        <f>IF(ISBLANK(Table2[[#This Row],[Received by]]),1,0)</f>
        <v>0</v>
      </c>
      <c r="AF138" s="372">
        <f ca="1">IF(Table2[[#This Row],[Start Date]]&gt;TODAY(),1,)</f>
        <v>0</v>
      </c>
      <c r="AG138" s="372">
        <f>IF(ISBLANK(Table2[[#This Row],[Primary Instructor]]),0,1)</f>
        <v>1</v>
      </c>
      <c r="AH138" s="372">
        <f>IF(ISBLANK(Table2[[#This Row],[Instructor 2]]),0,1)</f>
        <v>0</v>
      </c>
      <c r="AI138" s="372">
        <f>Table2[[#This Row],[Course Length (Hours)]]/(SUM(Table2[[#This Row],[1]:[2]]))</f>
        <v>40</v>
      </c>
      <c r="AJ138" s="372">
        <v>15</v>
      </c>
      <c r="AK138" s="396">
        <v>2</v>
      </c>
    </row>
    <row r="139" spans="1:37" s="373" customFormat="1" x14ac:dyDescent="0.25">
      <c r="A139" s="389"/>
      <c r="B139" s="390" t="s">
        <v>17</v>
      </c>
      <c r="C139" s="367" t="str">
        <f>VLOOKUP(Table2[[#This Row],[Course Title]],'TSD-Data'!$A$1:$E$56,2,FALSE)</f>
        <v>A-493-0012</v>
      </c>
      <c r="D139" s="367">
        <f>VLOOKUP(Table2[[#This Row],[Course Title]],'TSD-Data'!$A$1:$E$56,3,FALSE)</f>
        <v>3682</v>
      </c>
      <c r="E139" s="365" t="s">
        <v>212</v>
      </c>
      <c r="F139" s="368">
        <v>45691</v>
      </c>
      <c r="G139" s="368">
        <v>45695</v>
      </c>
      <c r="H139" s="370">
        <v>0.33333333333333331</v>
      </c>
      <c r="I139" s="392"/>
      <c r="J139" s="393"/>
      <c r="K139" s="393"/>
      <c r="L139" s="393"/>
      <c r="M139" s="409"/>
      <c r="N139" s="409"/>
      <c r="O139" s="389" t="s">
        <v>283</v>
      </c>
      <c r="P139" s="389"/>
      <c r="Q139" s="365"/>
      <c r="R139" s="372">
        <f>VLOOKUP(Table2[[#This Row],[Course Title]],'TSD-Data'!$A$1:$E$56,4,FALSE)</f>
        <v>40</v>
      </c>
      <c r="S139" s="372">
        <f>VLOOKUP(Table2[[#This Row],[Course Title]],'TSD-Data'!$A$1:$F$53,6,FALSE)</f>
        <v>40</v>
      </c>
      <c r="T139" s="372">
        <f>VLOOKUP(Table2[[#This Row],[Course Title]],'TSD-Data'!$A$1:$E$56,5,FALSE)</f>
        <v>5</v>
      </c>
      <c r="U139" s="372">
        <v>16</v>
      </c>
      <c r="V139" s="372">
        <f>Table2[[#This Row],[Quotas]]-Table2[[#This Row],[Open Quotas]]</f>
        <v>38</v>
      </c>
      <c r="W139" s="372">
        <v>0</v>
      </c>
      <c r="X139" s="372">
        <v>36</v>
      </c>
      <c r="Y139" s="394">
        <v>0</v>
      </c>
      <c r="Z139" s="372">
        <v>6</v>
      </c>
      <c r="AA139" s="372">
        <v>4</v>
      </c>
      <c r="AB139" s="367">
        <v>0</v>
      </c>
      <c r="AC139" s="372" t="s">
        <v>287</v>
      </c>
      <c r="AD139" s="394">
        <f ca="1">Table2[[#This Row],[End Date]]+2-TODAY()</f>
        <v>-80</v>
      </c>
      <c r="AE139" s="372">
        <f>IF(ISBLANK(Table2[[#This Row],[Received by]]),1,0)</f>
        <v>0</v>
      </c>
      <c r="AF139" s="372">
        <f ca="1">IF(Table2[[#This Row],[Start Date]]&gt;TODAY(),1,)</f>
        <v>0</v>
      </c>
      <c r="AG139" s="372">
        <f>IF(ISBLANK(Table2[[#This Row],[Primary Instructor]]),0,1)</f>
        <v>1</v>
      </c>
      <c r="AH139" s="372">
        <f>IF(ISBLANK(Table2[[#This Row],[Instructor 2]]),0,1)</f>
        <v>0</v>
      </c>
      <c r="AI139" s="372">
        <f>Table2[[#This Row],[Course Length (Hours)]]/(SUM(Table2[[#This Row],[1]:[2]]))</f>
        <v>40</v>
      </c>
      <c r="AJ139" s="372">
        <v>2</v>
      </c>
      <c r="AK139" s="396">
        <v>2</v>
      </c>
    </row>
    <row r="140" spans="1:37" s="373" customFormat="1" x14ac:dyDescent="0.25">
      <c r="A140" s="389"/>
      <c r="B140" s="399" t="s">
        <v>38</v>
      </c>
      <c r="C140" s="367" t="str">
        <f>VLOOKUP(Table2[[#This Row],[Course Title]],'TSD-Data'!$A$1:$E$56,2,FALSE)</f>
        <v>A-493-0061</v>
      </c>
      <c r="D140" s="367" t="str">
        <f>VLOOKUP(Table2[[#This Row],[Course Title]],'TSD-Data'!$A$1:$E$56,3,FALSE)</f>
        <v>288E</v>
      </c>
      <c r="E140" s="405" t="s">
        <v>86</v>
      </c>
      <c r="F140" s="406">
        <v>45691</v>
      </c>
      <c r="G140" s="406">
        <v>45694</v>
      </c>
      <c r="H140" s="379"/>
      <c r="I140" s="379">
        <v>0.33333333333333331</v>
      </c>
      <c r="J140" s="379">
        <v>0.20833333333333334</v>
      </c>
      <c r="K140" s="379">
        <v>0.66666666666666663</v>
      </c>
      <c r="L140" s="379">
        <v>0.58333333333333337</v>
      </c>
      <c r="M140" s="379">
        <v>0.125</v>
      </c>
      <c r="N140" s="379">
        <v>0.91666666666666663</v>
      </c>
      <c r="O140" s="407" t="s">
        <v>303</v>
      </c>
      <c r="P140" s="389"/>
      <c r="Q140" s="365"/>
      <c r="R140" s="372">
        <f>VLOOKUP(Table2[[#This Row],[Course Title]],'TSD-Data'!$A$1:$E$56,4,FALSE)</f>
        <v>45</v>
      </c>
      <c r="S140" s="372">
        <f>VLOOKUP(Table2[[#This Row],[Course Title]],'TSD-Data'!$A$1:$F$53,6,FALSE)</f>
        <v>30</v>
      </c>
      <c r="T140" s="372">
        <f>VLOOKUP(Table2[[#This Row],[Course Title]],'TSD-Data'!$A$1:$E$56,5,FALSE)</f>
        <v>4</v>
      </c>
      <c r="U140" s="372">
        <v>369</v>
      </c>
      <c r="V140" s="372">
        <f>Table2[[#This Row],[Quotas]]-Table2[[#This Row],[Open Quotas]]</f>
        <v>43</v>
      </c>
      <c r="W140" s="372">
        <v>0</v>
      </c>
      <c r="X140" s="394">
        <v>38</v>
      </c>
      <c r="Y140" s="394">
        <v>0</v>
      </c>
      <c r="Z140" s="372">
        <v>5</v>
      </c>
      <c r="AA140" s="372">
        <v>0</v>
      </c>
      <c r="AB140" s="410">
        <v>0</v>
      </c>
      <c r="AC140" s="372" t="s">
        <v>291</v>
      </c>
      <c r="AD140" s="394">
        <f ca="1">Table2[[#This Row],[End Date]]+2-TODAY()</f>
        <v>-81</v>
      </c>
      <c r="AE140" s="372">
        <f>IF(ISBLANK(Table2[[#This Row],[Received by]]),1,0)</f>
        <v>0</v>
      </c>
      <c r="AF140" s="372">
        <f ca="1">IF(Table2[[#This Row],[Start Date]]&gt;TODAY(),1,)</f>
        <v>0</v>
      </c>
      <c r="AG140" s="372">
        <f>IF(ISBLANK(Table2[[#This Row],[Primary Instructor]]),0,1)</f>
        <v>1</v>
      </c>
      <c r="AH140" s="372">
        <f>IF(ISBLANK(Table2[[#This Row],[Instructor 2]]),0,1)</f>
        <v>0</v>
      </c>
      <c r="AI140" s="372">
        <f>Table2[[#This Row],[Course Length (Hours)]]/(SUM(Table2[[#This Row],[1]:[2]]))</f>
        <v>30</v>
      </c>
      <c r="AJ140" s="372">
        <v>2</v>
      </c>
      <c r="AK140" s="396">
        <v>2</v>
      </c>
    </row>
    <row r="141" spans="1:37" s="373" customFormat="1" x14ac:dyDescent="0.25">
      <c r="A141" s="389"/>
      <c r="B141" s="399" t="s">
        <v>29</v>
      </c>
      <c r="C141" s="367" t="str">
        <f>VLOOKUP(Table2[[#This Row],[Course Title]],'TSD-Data'!$A$1:$E$56,2,FALSE)</f>
        <v>A-493-0077</v>
      </c>
      <c r="D141" s="367" t="str">
        <f>VLOOKUP(Table2[[#This Row],[Course Title]],'TSD-Data'!$A$1:$E$56,3,FALSE)</f>
        <v>0381</v>
      </c>
      <c r="E141" s="399" t="s">
        <v>198</v>
      </c>
      <c r="F141" s="391">
        <v>45691</v>
      </c>
      <c r="G141" s="391">
        <v>45693</v>
      </c>
      <c r="H141" s="370">
        <v>0.33333333333333331</v>
      </c>
      <c r="I141" s="370"/>
      <c r="J141" s="398"/>
      <c r="K141" s="398"/>
      <c r="L141" s="398"/>
      <c r="M141" s="398"/>
      <c r="N141" s="398"/>
      <c r="O141" s="389" t="s">
        <v>280</v>
      </c>
      <c r="P141" s="389"/>
      <c r="Q141" s="365"/>
      <c r="R141" s="372">
        <f>VLOOKUP(Table2[[#This Row],[Course Title]],'TSD-Data'!$A$1:$E$56,4,FALSE)</f>
        <v>25</v>
      </c>
      <c r="S141" s="372">
        <f>VLOOKUP(Table2[[#This Row],[Course Title]],'TSD-Data'!$A$1:$F$53,6,FALSE)</f>
        <v>24</v>
      </c>
      <c r="T141" s="372">
        <f>VLOOKUP(Table2[[#This Row],[Course Title]],'TSD-Data'!$A$1:$E$56,5,FALSE)</f>
        <v>3</v>
      </c>
      <c r="U141" s="372">
        <v>139</v>
      </c>
      <c r="V141" s="372">
        <f>Table2[[#This Row],[Quotas]]-Table2[[#This Row],[Open Quotas]]</f>
        <v>24</v>
      </c>
      <c r="W141" s="372">
        <v>0</v>
      </c>
      <c r="X141" s="372">
        <v>22</v>
      </c>
      <c r="Y141" s="394">
        <v>0</v>
      </c>
      <c r="Z141" s="372">
        <v>2</v>
      </c>
      <c r="AA141" s="372">
        <v>0</v>
      </c>
      <c r="AB141" s="372">
        <v>0</v>
      </c>
      <c r="AC141" s="372" t="s">
        <v>287</v>
      </c>
      <c r="AD141" s="394">
        <f ca="1">Table2[[#This Row],[End Date]]+2-TODAY()</f>
        <v>-82</v>
      </c>
      <c r="AE141" s="372">
        <f>IF(ISBLANK(Table2[[#This Row],[Received by]]),1,0)</f>
        <v>0</v>
      </c>
      <c r="AF141" s="372">
        <f ca="1">IF(Table2[[#This Row],[Start Date]]&gt;TODAY(),1,)</f>
        <v>0</v>
      </c>
      <c r="AG141" s="372">
        <f>IF(ISBLANK(Table2[[#This Row],[Primary Instructor]]),0,1)</f>
        <v>1</v>
      </c>
      <c r="AH141" s="372">
        <f>IF(ISBLANK(Table2[[#This Row],[Instructor 2]]),0,1)</f>
        <v>0</v>
      </c>
      <c r="AI141" s="372">
        <f>Table2[[#This Row],[Course Length (Hours)]]/(SUM(Table2[[#This Row],[1]:[2]]))</f>
        <v>24</v>
      </c>
      <c r="AJ141" s="372">
        <v>1</v>
      </c>
      <c r="AK141" s="396">
        <v>2</v>
      </c>
    </row>
    <row r="142" spans="1:37" s="373" customFormat="1" x14ac:dyDescent="0.25">
      <c r="A142" s="401"/>
      <c r="B142" s="411" t="s">
        <v>52</v>
      </c>
      <c r="C142" s="374" t="str">
        <f>VLOOKUP(Table2[[#This Row],[Course Title]],'TSD-Data'!$A$1:$E$56,2,FALSE)</f>
        <v>A-493-0085</v>
      </c>
      <c r="D142" s="374">
        <f>VLOOKUP(Table2[[#This Row],[Course Title]],'TSD-Data'!$A$1:$E$56,3,FALSE)</f>
        <v>3555</v>
      </c>
      <c r="E142" s="405" t="s">
        <v>86</v>
      </c>
      <c r="F142" s="406">
        <v>45691</v>
      </c>
      <c r="G142" s="406">
        <v>45694</v>
      </c>
      <c r="H142" s="379"/>
      <c r="I142" s="371">
        <v>0.5</v>
      </c>
      <c r="J142" s="371">
        <v>0.375</v>
      </c>
      <c r="K142" s="371">
        <v>0.83333333333333337</v>
      </c>
      <c r="L142" s="371">
        <v>0.75</v>
      </c>
      <c r="M142" s="371">
        <v>0.29166666666666669</v>
      </c>
      <c r="N142" s="371">
        <v>8.3333333333333329E-2</v>
      </c>
      <c r="O142" s="407" t="s">
        <v>316</v>
      </c>
      <c r="P142" s="401"/>
      <c r="Q142" s="365"/>
      <c r="R142" s="378">
        <f>VLOOKUP(Table2[[#This Row],[Course Title]],'TSD-Data'!$A$1:$E$56,4,FALSE)</f>
        <v>45</v>
      </c>
      <c r="S142" s="378">
        <f>VLOOKUP(Table2[[#This Row],[Course Title]],'TSD-Data'!$A$1:$F$53,6,FALSE)</f>
        <v>32</v>
      </c>
      <c r="T142" s="378">
        <f>VLOOKUP(Table2[[#This Row],[Course Title]],'TSD-Data'!$A$1:$E$56,5,FALSE)</f>
        <v>4</v>
      </c>
      <c r="U142" s="378">
        <v>503</v>
      </c>
      <c r="V142" s="378">
        <f>Table2[[#This Row],[Quotas]]-Table2[[#This Row],[Open Quotas]]</f>
        <v>17</v>
      </c>
      <c r="W142" s="378">
        <v>0</v>
      </c>
      <c r="X142" s="378">
        <v>15</v>
      </c>
      <c r="Y142" s="403">
        <v>0</v>
      </c>
      <c r="Z142" s="378">
        <v>3</v>
      </c>
      <c r="AA142" s="378">
        <v>0</v>
      </c>
      <c r="AB142" s="378">
        <v>0</v>
      </c>
      <c r="AC142" s="378" t="s">
        <v>281</v>
      </c>
      <c r="AD142" s="403">
        <f ca="1">Table2[[#This Row],[End Date]]+2-TODAY()</f>
        <v>-81</v>
      </c>
      <c r="AE142" s="378">
        <f>IF(ISBLANK(Table2[[#This Row],[Received by]]),1,0)</f>
        <v>0</v>
      </c>
      <c r="AF142" s="378">
        <f ca="1">IF(Table2[[#This Row],[Start Date]]&gt;TODAY(),1,)</f>
        <v>0</v>
      </c>
      <c r="AG142" s="378">
        <f>IF(ISBLANK(Table2[[#This Row],[Primary Instructor]]),0,1)</f>
        <v>1</v>
      </c>
      <c r="AH142" s="378">
        <f>IF(ISBLANK(Table2[[#This Row],[Instructor 2]]),0,1)</f>
        <v>0</v>
      </c>
      <c r="AI142" s="378">
        <f>Table2[[#This Row],[Course Length (Hours)]]/(SUM(Table2[[#This Row],[1]:[2]]))</f>
        <v>32</v>
      </c>
      <c r="AJ142" s="378">
        <v>28</v>
      </c>
      <c r="AK142" s="526">
        <v>2</v>
      </c>
    </row>
    <row r="143" spans="1:37" s="373" customFormat="1" x14ac:dyDescent="0.25">
      <c r="A143" s="401"/>
      <c r="B143" s="411" t="s">
        <v>53</v>
      </c>
      <c r="C143" s="374" t="str">
        <f>VLOOKUP(Table2[[#This Row],[Course Title]],'TSD-Data'!$A$1:$E$56,2,FALSE)</f>
        <v>A-493-0072</v>
      </c>
      <c r="D143" s="374" t="str">
        <f>VLOOKUP(Table2[[#This Row],[Course Title]],'TSD-Data'!$A$1:$E$56,3,FALSE)</f>
        <v>713U</v>
      </c>
      <c r="E143" s="399" t="s">
        <v>212</v>
      </c>
      <c r="F143" s="391">
        <v>45691</v>
      </c>
      <c r="G143" s="391">
        <v>45695</v>
      </c>
      <c r="H143" s="377">
        <v>0.33333333333333331</v>
      </c>
      <c r="I143" s="412"/>
      <c r="J143" s="409"/>
      <c r="K143" s="409"/>
      <c r="L143" s="409"/>
      <c r="M143" s="409"/>
      <c r="N143" s="409"/>
      <c r="O143" s="401" t="s">
        <v>315</v>
      </c>
      <c r="P143" s="401" t="s">
        <v>277</v>
      </c>
      <c r="Q143" s="365"/>
      <c r="R143" s="378">
        <f>VLOOKUP(Table2[[#This Row],[Course Title]],'TSD-Data'!$A$1:$E$56,4,FALSE)</f>
        <v>30</v>
      </c>
      <c r="S143" s="378">
        <f>VLOOKUP(Table2[[#This Row],[Course Title]],'TSD-Data'!$A$1:$F$53,6,FALSE)</f>
        <v>40</v>
      </c>
      <c r="T143" s="378">
        <f>VLOOKUP(Table2[[#This Row],[Course Title]],'TSD-Data'!$A$1:$E$56,5,FALSE)</f>
        <v>5</v>
      </c>
      <c r="U143" s="378">
        <v>186</v>
      </c>
      <c r="V143" s="378">
        <f>Table2[[#This Row],[Quotas]]-Table2[[#This Row],[Open Quotas]]</f>
        <v>29</v>
      </c>
      <c r="W143" s="378">
        <v>0</v>
      </c>
      <c r="X143" s="378">
        <v>26</v>
      </c>
      <c r="Y143" s="403">
        <v>1</v>
      </c>
      <c r="Z143" s="378">
        <v>5</v>
      </c>
      <c r="AA143" s="378">
        <v>3</v>
      </c>
      <c r="AB143" s="378">
        <v>0</v>
      </c>
      <c r="AC143" s="378" t="s">
        <v>281</v>
      </c>
      <c r="AD143" s="403">
        <f ca="1">Table2[[#This Row],[End Date]]+2-TODAY()</f>
        <v>-80</v>
      </c>
      <c r="AE143" s="378">
        <f>IF(ISBLANK(Table2[[#This Row],[Received by]]),1,0)</f>
        <v>0</v>
      </c>
      <c r="AF143" s="378">
        <f ca="1">IF(Table2[[#This Row],[Start Date]]&gt;TODAY(),1,)</f>
        <v>0</v>
      </c>
      <c r="AG143" s="378">
        <f>IF(ISBLANK(Table2[[#This Row],[Primary Instructor]]),0,1)</f>
        <v>1</v>
      </c>
      <c r="AH143" s="378">
        <f>IF(ISBLANK(Table2[[#This Row],[Instructor 2]]),0,1)</f>
        <v>1</v>
      </c>
      <c r="AI143" s="378">
        <f>Table2[[#This Row],[Course Length (Hours)]]/(SUM(Table2[[#This Row],[1]:[2]]))</f>
        <v>20</v>
      </c>
      <c r="AJ143" s="378">
        <v>1</v>
      </c>
      <c r="AK143" s="526">
        <v>2</v>
      </c>
    </row>
    <row r="144" spans="1:37" s="373" customFormat="1" x14ac:dyDescent="0.25">
      <c r="A144" s="389"/>
      <c r="B144" s="411" t="s">
        <v>57</v>
      </c>
      <c r="C144" s="367" t="str">
        <f>VLOOKUP(Table2[[#This Row],[Course Title]],'TSD-Data'!$A$1:$E$56,2,FALSE)</f>
        <v>A-493-0099</v>
      </c>
      <c r="D144" s="367" t="str">
        <f>VLOOKUP(Table2[[#This Row],[Course Title]],'TSD-Data'!$A$1:$E$56,3,FALSE)</f>
        <v>12JW</v>
      </c>
      <c r="E144" s="399" t="s">
        <v>86</v>
      </c>
      <c r="F144" s="391">
        <v>45692</v>
      </c>
      <c r="G144" s="391">
        <v>45694</v>
      </c>
      <c r="H144" s="397"/>
      <c r="I144" s="381">
        <v>0.29166666666666669</v>
      </c>
      <c r="J144" s="370">
        <v>0.16666666666666666</v>
      </c>
      <c r="K144" s="370">
        <v>0.625</v>
      </c>
      <c r="L144" s="370">
        <v>0.54166666666666663</v>
      </c>
      <c r="M144" s="370">
        <v>8.3333333333333329E-2</v>
      </c>
      <c r="N144" s="370">
        <v>0.875</v>
      </c>
      <c r="O144" s="389" t="s">
        <v>305</v>
      </c>
      <c r="P144" s="389"/>
      <c r="Q144" s="365"/>
      <c r="R144" s="372">
        <f>VLOOKUP(Table2[[#This Row],[Course Title]],'TSD-Data'!$A$1:$E$56,4,FALSE)</f>
        <v>45</v>
      </c>
      <c r="S144" s="372">
        <f>VLOOKUP(Table2[[#This Row],[Course Title]],'TSD-Data'!$A$1:$F$53,6,FALSE)</f>
        <v>24</v>
      </c>
      <c r="T144" s="372">
        <f>VLOOKUP(Table2[[#This Row],[Course Title]],'TSD-Data'!$A$1:$E$56,5,FALSE)</f>
        <v>3</v>
      </c>
      <c r="U144" s="372">
        <v>34</v>
      </c>
      <c r="V144" s="372">
        <f>Table2[[#This Row],[Quotas]]-Table2[[#This Row],[Open Quotas]]</f>
        <v>39</v>
      </c>
      <c r="W144" s="372">
        <v>0</v>
      </c>
      <c r="X144" s="372">
        <v>32</v>
      </c>
      <c r="Y144" s="394">
        <v>0</v>
      </c>
      <c r="Z144" s="372">
        <v>8</v>
      </c>
      <c r="AA144" s="372">
        <v>0</v>
      </c>
      <c r="AB144" s="372">
        <v>0</v>
      </c>
      <c r="AC144" s="372" t="s">
        <v>291</v>
      </c>
      <c r="AD144" s="394">
        <f ca="1">Table2[[#This Row],[End Date]]+2-TODAY()</f>
        <v>-81</v>
      </c>
      <c r="AE144" s="372">
        <f>IF(ISBLANK(Table2[[#This Row],[Received by]]),1,0)</f>
        <v>0</v>
      </c>
      <c r="AF144" s="372">
        <f ca="1">IF(Table2[[#This Row],[Start Date]]&gt;TODAY(),1,)</f>
        <v>0</v>
      </c>
      <c r="AG144" s="372">
        <f>IF(ISBLANK(Table2[[#This Row],[Primary Instructor]]),0,1)</f>
        <v>1</v>
      </c>
      <c r="AH144" s="372">
        <f>IF(ISBLANK(Table2[[#This Row],[Instructor 2]]),0,1)</f>
        <v>0</v>
      </c>
      <c r="AI144" s="372">
        <f>Table2[[#This Row],[Course Length (Hours)]]/(SUM(Table2[[#This Row],[1]:[2]]))</f>
        <v>24</v>
      </c>
      <c r="AJ144" s="372">
        <v>6</v>
      </c>
      <c r="AK144" s="396">
        <v>2</v>
      </c>
    </row>
    <row r="145" spans="1:37" s="373" customFormat="1" x14ac:dyDescent="0.25">
      <c r="A145" s="389"/>
      <c r="B145" s="411" t="s">
        <v>31</v>
      </c>
      <c r="C145" s="367" t="str">
        <f>VLOOKUP(Table2[[#This Row],[Course Title]],'TSD-Data'!$A$1:$E$56,2,FALSE)</f>
        <v>A-493-0083</v>
      </c>
      <c r="D145" s="367" t="str">
        <f>VLOOKUP(Table2[[#This Row],[Course Title]],'TSD-Data'!$A$1:$E$56,3,FALSE)</f>
        <v>339E</v>
      </c>
      <c r="E145" s="390" t="s">
        <v>198</v>
      </c>
      <c r="F145" s="375">
        <v>45694</v>
      </c>
      <c r="G145" s="375">
        <v>45694</v>
      </c>
      <c r="H145" s="370">
        <v>0.33333333333333331</v>
      </c>
      <c r="I145" s="370"/>
      <c r="J145" s="398"/>
      <c r="K145" s="398"/>
      <c r="L145" s="398"/>
      <c r="M145" s="398"/>
      <c r="N145" s="398"/>
      <c r="O145" s="389" t="s">
        <v>280</v>
      </c>
      <c r="P145" s="389"/>
      <c r="Q145" s="365"/>
      <c r="R145" s="372">
        <f>VLOOKUP(Table2[[#This Row],[Course Title]],'TSD-Data'!$A$1:$E$56,4,FALSE)</f>
        <v>30</v>
      </c>
      <c r="S145" s="372">
        <f>VLOOKUP(Table2[[#This Row],[Course Title]],'TSD-Data'!$A$1:$F$53,6,FALSE)</f>
        <v>8</v>
      </c>
      <c r="T145" s="372">
        <f>VLOOKUP(Table2[[#This Row],[Course Title]],'TSD-Data'!$A$1:$E$56,5,FALSE)</f>
        <v>1</v>
      </c>
      <c r="U145" s="372">
        <v>143</v>
      </c>
      <c r="V145" s="372">
        <f>Table2[[#This Row],[Quotas]]-Table2[[#This Row],[Open Quotas]]</f>
        <v>10</v>
      </c>
      <c r="W145" s="372">
        <v>0</v>
      </c>
      <c r="X145" s="372">
        <v>9</v>
      </c>
      <c r="Y145" s="394">
        <v>0</v>
      </c>
      <c r="Z145" s="372">
        <v>1</v>
      </c>
      <c r="AA145" s="372">
        <v>0</v>
      </c>
      <c r="AB145" s="394">
        <v>0</v>
      </c>
      <c r="AC145" s="372" t="s">
        <v>287</v>
      </c>
      <c r="AD145" s="394">
        <f ca="1">Table2[[#This Row],[End Date]]+2-TODAY()</f>
        <v>-81</v>
      </c>
      <c r="AE145" s="372">
        <f>IF(ISBLANK(Table2[[#This Row],[Received by]]),1,0)</f>
        <v>0</v>
      </c>
      <c r="AF145" s="372">
        <f ca="1">IF(Table2[[#This Row],[Start Date]]&gt;TODAY(),1,)</f>
        <v>0</v>
      </c>
      <c r="AG145" s="372">
        <f>IF(ISBLANK(Table2[[#This Row],[Primary Instructor]]),0,1)</f>
        <v>1</v>
      </c>
      <c r="AH145" s="372">
        <f>IF(ISBLANK(Table2[[#This Row],[Instructor 2]]),0,1)</f>
        <v>0</v>
      </c>
      <c r="AI145" s="372">
        <f>Table2[[#This Row],[Course Length (Hours)]]/(SUM(Table2[[#This Row],[1]:[2]]))</f>
        <v>8</v>
      </c>
      <c r="AJ145" s="372">
        <v>20</v>
      </c>
      <c r="AK145" s="396">
        <v>2</v>
      </c>
    </row>
    <row r="146" spans="1:37" s="373" customFormat="1" x14ac:dyDescent="0.25">
      <c r="A146" s="389"/>
      <c r="B146" s="411" t="s">
        <v>15</v>
      </c>
      <c r="C146" s="367" t="str">
        <f>VLOOKUP(Table2[[#This Row],[Course Title]],'TSD-Data'!$A$1:$E$56,2,FALSE)</f>
        <v>A-4J-0022</v>
      </c>
      <c r="D146" s="367" t="str">
        <f>VLOOKUP(Table2[[#This Row],[Course Title]],'TSD-Data'!$A$1:$E$56,3,FALSE)</f>
        <v>09ER</v>
      </c>
      <c r="E146" s="390" t="s">
        <v>86</v>
      </c>
      <c r="F146" s="397">
        <v>45698</v>
      </c>
      <c r="G146" s="397">
        <v>45699</v>
      </c>
      <c r="H146" s="370"/>
      <c r="I146" s="381">
        <v>0.79166666666666663</v>
      </c>
      <c r="J146" s="381">
        <v>0.66666666666666663</v>
      </c>
      <c r="K146" s="381">
        <v>0.125</v>
      </c>
      <c r="L146" s="381">
        <v>4.1666666666666664E-2</v>
      </c>
      <c r="M146" s="381">
        <v>0.58333333333333337</v>
      </c>
      <c r="N146" s="381">
        <v>0.375</v>
      </c>
      <c r="O146" s="413" t="s">
        <v>272</v>
      </c>
      <c r="P146" s="389"/>
      <c r="Q146" s="365"/>
      <c r="R146" s="372">
        <f>VLOOKUP(Table2[[#This Row],[Course Title]],'TSD-Data'!$A$1:$E$56,4,FALSE)</f>
        <v>45</v>
      </c>
      <c r="S146" s="372">
        <f>VLOOKUP(Table2[[#This Row],[Course Title]],'TSD-Data'!$A$1:$F$53,6,FALSE)</f>
        <v>16</v>
      </c>
      <c r="T146" s="372">
        <f>VLOOKUP(Table2[[#This Row],[Course Title]],'TSD-Data'!$A$1:$E$56,5,FALSE)</f>
        <v>2</v>
      </c>
      <c r="U146" s="372">
        <v>58</v>
      </c>
      <c r="V146" s="372">
        <f>Table2[[#This Row],[Quotas]]-Table2[[#This Row],[Open Quotas]]</f>
        <v>26</v>
      </c>
      <c r="W146" s="372">
        <v>0</v>
      </c>
      <c r="X146" s="372">
        <v>24</v>
      </c>
      <c r="Y146" s="394">
        <v>1</v>
      </c>
      <c r="Z146" s="372">
        <v>2</v>
      </c>
      <c r="AA146" s="372">
        <v>0</v>
      </c>
      <c r="AB146" s="372">
        <v>0</v>
      </c>
      <c r="AC146" s="372" t="s">
        <v>287</v>
      </c>
      <c r="AD146" s="394">
        <f ca="1">Table2[[#This Row],[End Date]]+2-TODAY()</f>
        <v>-76</v>
      </c>
      <c r="AE146" s="372">
        <f>IF(ISBLANK(Table2[[#This Row],[Received by]]),1,0)</f>
        <v>0</v>
      </c>
      <c r="AF146" s="372">
        <f ca="1">IF(Table2[[#This Row],[Start Date]]&gt;TODAY(),1,)</f>
        <v>0</v>
      </c>
      <c r="AG146" s="372">
        <f>IF(ISBLANK(Table2[[#This Row],[Primary Instructor]]),0,1)</f>
        <v>1</v>
      </c>
      <c r="AH146" s="372">
        <f>IF(ISBLANK(Table2[[#This Row],[Instructor 2]]),0,1)</f>
        <v>0</v>
      </c>
      <c r="AI146" s="372">
        <f>Table2[[#This Row],[Course Length (Hours)]]/(SUM(Table2[[#This Row],[1]:[2]]))</f>
        <v>16</v>
      </c>
      <c r="AJ146" s="372">
        <v>19</v>
      </c>
      <c r="AK146" s="396">
        <v>2</v>
      </c>
    </row>
    <row r="147" spans="1:37" s="373" customFormat="1" x14ac:dyDescent="0.25">
      <c r="A147" s="389"/>
      <c r="B147" s="411" t="s">
        <v>46</v>
      </c>
      <c r="C147" s="367" t="str">
        <f>VLOOKUP(Table2[[#This Row],[Course Title]],'TSD-Data'!$A$1:$E$56,2,FALSE)</f>
        <v>A-493-0070</v>
      </c>
      <c r="D147" s="367" t="str">
        <f>VLOOKUP(Table2[[#This Row],[Course Title]],'TSD-Data'!$A$1:$E$56,3,FALSE)</f>
        <v>450V</v>
      </c>
      <c r="E147" s="405" t="s">
        <v>86</v>
      </c>
      <c r="F147" s="406">
        <v>45698</v>
      </c>
      <c r="G147" s="406">
        <v>45699</v>
      </c>
      <c r="H147" s="379"/>
      <c r="I147" s="371">
        <v>0.79166666666666663</v>
      </c>
      <c r="J147" s="379">
        <v>0.66666666666666663</v>
      </c>
      <c r="K147" s="379">
        <v>0.125</v>
      </c>
      <c r="L147" s="379">
        <v>4.1666666666666664E-2</v>
      </c>
      <c r="M147" s="379">
        <v>0.58333333333333337</v>
      </c>
      <c r="N147" s="379">
        <v>0.375</v>
      </c>
      <c r="O147" s="407" t="s">
        <v>316</v>
      </c>
      <c r="P147" s="389"/>
      <c r="Q147" s="365"/>
      <c r="R147" s="372">
        <f>VLOOKUP(Table2[[#This Row],[Course Title]],'TSD-Data'!$A$1:$E$56,4,FALSE)</f>
        <v>30</v>
      </c>
      <c r="S147" s="372">
        <f>VLOOKUP(Table2[[#This Row],[Course Title]],'TSD-Data'!$A$1:$F$53,6,FALSE)</f>
        <v>8</v>
      </c>
      <c r="T147" s="372">
        <f>VLOOKUP(Table2[[#This Row],[Course Title]],'TSD-Data'!$A$1:$E$56,5,FALSE)</f>
        <v>1</v>
      </c>
      <c r="U147" s="372">
        <v>0</v>
      </c>
      <c r="V147" s="372">
        <f>Table2[[#This Row],[Quotas]]-Table2[[#This Row],[Open Quotas]]</f>
        <v>23</v>
      </c>
      <c r="W147" s="372">
        <v>0</v>
      </c>
      <c r="X147" s="372">
        <v>19</v>
      </c>
      <c r="Y147" s="394">
        <v>0</v>
      </c>
      <c r="Z147" s="372">
        <v>4</v>
      </c>
      <c r="AA147" s="372">
        <v>0</v>
      </c>
      <c r="AB147" s="372">
        <v>0</v>
      </c>
      <c r="AC147" s="372" t="s">
        <v>287</v>
      </c>
      <c r="AD147" s="394">
        <f ca="1">Table2[[#This Row],[End Date]]+2-TODAY()</f>
        <v>-76</v>
      </c>
      <c r="AE147" s="372">
        <f>IF(ISBLANK(Table2[[#This Row],[Received by]]),1,0)</f>
        <v>0</v>
      </c>
      <c r="AF147" s="372">
        <f ca="1">IF(Table2[[#This Row],[Start Date]]&gt;TODAY(),1,)</f>
        <v>0</v>
      </c>
      <c r="AG147" s="372">
        <f>IF(ISBLANK(Table2[[#This Row],[Primary Instructor]]),0,1)</f>
        <v>1</v>
      </c>
      <c r="AH147" s="372">
        <f>IF(ISBLANK(Table2[[#This Row],[Instructor 2]]),0,1)</f>
        <v>0</v>
      </c>
      <c r="AI147" s="372">
        <f>Table2[[#This Row],[Course Length (Hours)]]/(SUM(Table2[[#This Row],[1]:[2]]))</f>
        <v>8</v>
      </c>
      <c r="AJ147" s="414">
        <v>7</v>
      </c>
      <c r="AK147" s="396">
        <v>2</v>
      </c>
    </row>
    <row r="148" spans="1:37" s="373" customFormat="1" x14ac:dyDescent="0.25">
      <c r="A148" s="415"/>
      <c r="B148" s="411" t="s">
        <v>120</v>
      </c>
      <c r="C148" s="367" t="str">
        <f>VLOOKUP(Table2[[#This Row],[Course Title]],'TSD-Data'!$A$1:$E$56,2,FALSE)</f>
        <v>A-322-2604</v>
      </c>
      <c r="D148" s="367" t="str">
        <f>VLOOKUP(Table2[[#This Row],[Course Title]],'TSD-Data'!$A$1:$E$56,3,FALSE)</f>
        <v>10ZZ</v>
      </c>
      <c r="E148" s="390" t="s">
        <v>86</v>
      </c>
      <c r="F148" s="391">
        <v>45698</v>
      </c>
      <c r="G148" s="391">
        <v>45700</v>
      </c>
      <c r="H148" s="370"/>
      <c r="I148" s="370">
        <v>0.33333333333333331</v>
      </c>
      <c r="J148" s="370">
        <v>0.20833333333333334</v>
      </c>
      <c r="K148" s="370">
        <v>0.66666666666666663</v>
      </c>
      <c r="L148" s="370">
        <v>0.58333333333333337</v>
      </c>
      <c r="M148" s="370">
        <v>0.125</v>
      </c>
      <c r="N148" s="370">
        <v>0.91666666666666663</v>
      </c>
      <c r="O148" s="389" t="s">
        <v>288</v>
      </c>
      <c r="P148" s="389"/>
      <c r="Q148" s="365"/>
      <c r="R148" s="372">
        <f>VLOOKUP(Table2[[#This Row],[Course Title]],'TSD-Data'!$A$1:$E$56,4,FALSE)</f>
        <v>45</v>
      </c>
      <c r="S148" s="372">
        <f>VLOOKUP(Table2[[#This Row],[Course Title]],'TSD-Data'!$A$1:$F$53,6,FALSE)</f>
        <v>24</v>
      </c>
      <c r="T148" s="372">
        <f>VLOOKUP(Table2[[#This Row],[Course Title]],'TSD-Data'!$A$1:$E$56,5,FALSE)</f>
        <v>3</v>
      </c>
      <c r="U148" s="372">
        <v>357</v>
      </c>
      <c r="V148" s="372">
        <f>Table2[[#This Row],[Quotas]]-Table2[[#This Row],[Open Quotas]]</f>
        <v>45</v>
      </c>
      <c r="W148" s="372">
        <v>2</v>
      </c>
      <c r="X148" s="394">
        <v>37</v>
      </c>
      <c r="Y148" s="394">
        <v>5</v>
      </c>
      <c r="Z148" s="372">
        <v>3</v>
      </c>
      <c r="AA148" s="372">
        <v>0</v>
      </c>
      <c r="AB148" s="367">
        <v>0</v>
      </c>
      <c r="AC148" s="372" t="s">
        <v>281</v>
      </c>
      <c r="AD148" s="394">
        <f ca="1">Table2[[#This Row],[End Date]]+2-TODAY()</f>
        <v>-75</v>
      </c>
      <c r="AE148" s="372">
        <f>IF(ISBLANK(Table2[[#This Row],[Received by]]),1,0)</f>
        <v>0</v>
      </c>
      <c r="AF148" s="372">
        <f ca="1">IF(Table2[[#This Row],[Start Date]]&gt;TODAY(),1,)</f>
        <v>0</v>
      </c>
      <c r="AG148" s="372">
        <f>IF(ISBLANK(Table2[[#This Row],[Primary Instructor]]),0,1)</f>
        <v>1</v>
      </c>
      <c r="AH148" s="372">
        <f>IF(ISBLANK(Table2[[#This Row],[Instructor 2]]),0,1)</f>
        <v>0</v>
      </c>
      <c r="AI148" s="372">
        <f>Table2[[#This Row],[Course Length (Hours)]]/(SUM(Table2[[#This Row],[1]:[2]]))</f>
        <v>24</v>
      </c>
      <c r="AJ148" s="372">
        <v>0</v>
      </c>
      <c r="AK148" s="396">
        <v>2</v>
      </c>
    </row>
    <row r="149" spans="1:37" s="373" customFormat="1" x14ac:dyDescent="0.25">
      <c r="A149" s="365"/>
      <c r="B149" s="411" t="s">
        <v>29</v>
      </c>
      <c r="C149" s="367" t="str">
        <f>VLOOKUP(Table2[[#This Row],[Course Title]],'TSD-Data'!$A$1:$E$56,2,FALSE)</f>
        <v>A-493-0077</v>
      </c>
      <c r="D149" s="367" t="str">
        <f>VLOOKUP(Table2[[#This Row],[Course Title]],'TSD-Data'!$A$1:$E$56,3,FALSE)</f>
        <v>0381</v>
      </c>
      <c r="E149" s="366" t="s">
        <v>164</v>
      </c>
      <c r="F149" s="391">
        <v>45698</v>
      </c>
      <c r="G149" s="391">
        <v>45700</v>
      </c>
      <c r="H149" s="370">
        <v>0.33333333333333331</v>
      </c>
      <c r="I149" s="392"/>
      <c r="J149" s="392"/>
      <c r="K149" s="393"/>
      <c r="L149" s="393"/>
      <c r="M149" s="393"/>
      <c r="N149" s="393"/>
      <c r="O149" s="389" t="s">
        <v>280</v>
      </c>
      <c r="P149" s="389"/>
      <c r="Q149" s="365"/>
      <c r="R149" s="372">
        <f>VLOOKUP(Table2[[#This Row],[Course Title]],'TSD-Data'!$A$1:$E$56,4,FALSE)</f>
        <v>25</v>
      </c>
      <c r="S149" s="372">
        <f>VLOOKUP(Table2[[#This Row],[Course Title]],'TSD-Data'!$A$1:$F$53,6,FALSE)</f>
        <v>24</v>
      </c>
      <c r="T149" s="372">
        <f>VLOOKUP(Table2[[#This Row],[Course Title]],'TSD-Data'!$A$1:$E$56,5,FALSE)</f>
        <v>3</v>
      </c>
      <c r="U149" s="372">
        <v>14</v>
      </c>
      <c r="V149" s="372">
        <f>Table2[[#This Row],[Quotas]]-Table2[[#This Row],[Open Quotas]]</f>
        <v>15</v>
      </c>
      <c r="W149" s="372">
        <v>0</v>
      </c>
      <c r="X149" s="372">
        <v>13</v>
      </c>
      <c r="Y149" s="394">
        <v>0</v>
      </c>
      <c r="Z149" s="372">
        <v>2</v>
      </c>
      <c r="AA149" s="372">
        <v>0</v>
      </c>
      <c r="AB149" s="372">
        <v>0</v>
      </c>
      <c r="AC149" s="372" t="s">
        <v>287</v>
      </c>
      <c r="AD149" s="394">
        <f ca="1">Table2[[#This Row],[End Date]]+2-TODAY()</f>
        <v>-75</v>
      </c>
      <c r="AE149" s="372">
        <f>IF(ISBLANK(Table2[[#This Row],[Received by]]),1,0)</f>
        <v>0</v>
      </c>
      <c r="AF149" s="372">
        <f ca="1">IF(Table2[[#This Row],[Start Date]]&gt;TODAY(),1,)</f>
        <v>0</v>
      </c>
      <c r="AG149" s="372">
        <f>IF(ISBLANK(Table2[[#This Row],[Primary Instructor]]),0,1)</f>
        <v>1</v>
      </c>
      <c r="AH149" s="372">
        <f>IF(ISBLANK(Table2[[#This Row],[Instructor 2]]),0,1)</f>
        <v>0</v>
      </c>
      <c r="AI149" s="372">
        <f>Table2[[#This Row],[Course Length (Hours)]]/(SUM(Table2[[#This Row],[1]:[2]]))</f>
        <v>24</v>
      </c>
      <c r="AJ149" s="372">
        <v>10</v>
      </c>
      <c r="AK149" s="396">
        <v>2</v>
      </c>
    </row>
    <row r="150" spans="1:37" s="373" customFormat="1" x14ac:dyDescent="0.25">
      <c r="A150" s="389"/>
      <c r="B150" s="411" t="s">
        <v>60</v>
      </c>
      <c r="C150" s="367" t="str">
        <f>VLOOKUP(Table2[[#This Row],[Course Title]],'TSD-Data'!$A$1:$E$56,2,FALSE)</f>
        <v>A-493-0073</v>
      </c>
      <c r="D150" s="367" t="str">
        <f>VLOOKUP(Table2[[#This Row],[Course Title]],'TSD-Data'!$A$1:$E$56,3,FALSE)</f>
        <v>714S</v>
      </c>
      <c r="E150" s="411" t="s">
        <v>86</v>
      </c>
      <c r="F150" s="416">
        <v>45698</v>
      </c>
      <c r="G150" s="416">
        <v>45701</v>
      </c>
      <c r="H150" s="391"/>
      <c r="I150" s="380">
        <v>8.3333333333333329E-2</v>
      </c>
      <c r="J150" s="380">
        <v>0.95833333333333337</v>
      </c>
      <c r="K150" s="380">
        <v>0.41666666666666669</v>
      </c>
      <c r="L150" s="380">
        <v>0.33333333333333331</v>
      </c>
      <c r="M150" s="380">
        <v>0.875</v>
      </c>
      <c r="N150" s="380">
        <v>0.66666666666666663</v>
      </c>
      <c r="O150" s="401" t="s">
        <v>314</v>
      </c>
      <c r="P150" s="389"/>
      <c r="Q150" s="365"/>
      <c r="R150" s="372">
        <f>VLOOKUP(Table2[[#This Row],[Course Title]],'TSD-Data'!$A$1:$E$56,4,FALSE)</f>
        <v>30</v>
      </c>
      <c r="S150" s="372">
        <f>VLOOKUP(Table2[[#This Row],[Course Title]],'TSD-Data'!$A$1:$F$53,6,FALSE)</f>
        <v>32</v>
      </c>
      <c r="T150" s="372">
        <f>VLOOKUP(Table2[[#This Row],[Course Title]],'TSD-Data'!$A$1:$E$56,5,FALSE)</f>
        <v>4</v>
      </c>
      <c r="U150" s="372">
        <v>45</v>
      </c>
      <c r="V150" s="372">
        <f>Table2[[#This Row],[Quotas]]-Table2[[#This Row],[Open Quotas]]</f>
        <v>16</v>
      </c>
      <c r="W150" s="372">
        <v>0</v>
      </c>
      <c r="X150" s="372">
        <v>9</v>
      </c>
      <c r="Y150" s="394">
        <v>0</v>
      </c>
      <c r="Z150" s="372">
        <v>7</v>
      </c>
      <c r="AA150" s="372">
        <v>0</v>
      </c>
      <c r="AB150" s="372">
        <v>0</v>
      </c>
      <c r="AC150" s="372" t="s">
        <v>291</v>
      </c>
      <c r="AD150" s="394">
        <f ca="1">Table2[[#This Row],[End Date]]+2-TODAY()</f>
        <v>-74</v>
      </c>
      <c r="AE150" s="372">
        <f>IF(ISBLANK(Table2[[#This Row],[Received by]]),1,0)</f>
        <v>0</v>
      </c>
      <c r="AF150" s="372">
        <f ca="1">IF(Table2[[#This Row],[Start Date]]&gt;TODAY(),1,)</f>
        <v>0</v>
      </c>
      <c r="AG150" s="372">
        <f>IF(ISBLANK(Table2[[#This Row],[Primary Instructor]]),0,1)</f>
        <v>1</v>
      </c>
      <c r="AH150" s="372">
        <f>IF(ISBLANK(Table2[[#This Row],[Instructor 2]]),0,1)</f>
        <v>0</v>
      </c>
      <c r="AI150" s="372">
        <f>Table2[[#This Row],[Course Length (Hours)]]/(SUM(Table2[[#This Row],[1]:[2]]))</f>
        <v>32</v>
      </c>
      <c r="AJ150" s="372">
        <v>14</v>
      </c>
      <c r="AK150" s="396">
        <v>2</v>
      </c>
    </row>
    <row r="151" spans="1:37" s="373" customFormat="1" x14ac:dyDescent="0.25">
      <c r="A151" s="401" t="s">
        <v>531</v>
      </c>
      <c r="B151" s="411" t="s">
        <v>53</v>
      </c>
      <c r="C151" s="374" t="str">
        <f>VLOOKUP(Table2[[#This Row],[Course Title]],'TSD-Data'!$A$1:$E$56,2,FALSE)</f>
        <v>A-493-0072</v>
      </c>
      <c r="D151" s="374" t="str">
        <f>VLOOKUP(Table2[[#This Row],[Course Title]],'TSD-Data'!$A$1:$E$56,3,FALSE)</f>
        <v>713U</v>
      </c>
      <c r="E151" s="399" t="s">
        <v>210</v>
      </c>
      <c r="F151" s="391">
        <v>45698</v>
      </c>
      <c r="G151" s="391">
        <v>45702</v>
      </c>
      <c r="H151" s="417">
        <v>0.33333333333333331</v>
      </c>
      <c r="I151" s="417"/>
      <c r="J151" s="418"/>
      <c r="K151" s="418"/>
      <c r="L151" s="418"/>
      <c r="M151" s="418"/>
      <c r="N151" s="418"/>
      <c r="O151" s="401" t="s">
        <v>318</v>
      </c>
      <c r="P151" s="401" t="s">
        <v>274</v>
      </c>
      <c r="Q151" s="365"/>
      <c r="R151" s="378">
        <f>VLOOKUP(Table2[[#This Row],[Course Title]],'TSD-Data'!$A$1:$E$56,4,FALSE)</f>
        <v>30</v>
      </c>
      <c r="S151" s="378">
        <f>VLOOKUP(Table2[[#This Row],[Course Title]],'TSD-Data'!$A$1:$F$53,6,FALSE)</f>
        <v>40</v>
      </c>
      <c r="T151" s="378">
        <f>VLOOKUP(Table2[[#This Row],[Course Title]],'TSD-Data'!$A$1:$E$56,5,FALSE)</f>
        <v>5</v>
      </c>
      <c r="U151" s="378">
        <v>30</v>
      </c>
      <c r="V151" s="378">
        <f>Table2[[#This Row],[Quotas]]-Table2[[#This Row],[Open Quotas]]</f>
        <v>30</v>
      </c>
      <c r="W151" s="378">
        <v>0</v>
      </c>
      <c r="X151" s="403">
        <v>7</v>
      </c>
      <c r="Y151" s="403">
        <v>0</v>
      </c>
      <c r="Z151" s="378">
        <v>0</v>
      </c>
      <c r="AA151" s="378">
        <v>1</v>
      </c>
      <c r="AB151" s="374">
        <v>0</v>
      </c>
      <c r="AC151" s="378" t="s">
        <v>287</v>
      </c>
      <c r="AD151" s="403">
        <f ca="1">Table2[[#This Row],[End Date]]+2-TODAY()</f>
        <v>-73</v>
      </c>
      <c r="AE151" s="378">
        <f>IF(ISBLANK(Table2[[#This Row],[Received by]]),1,0)</f>
        <v>0</v>
      </c>
      <c r="AF151" s="378">
        <f ca="1">IF(Table2[[#This Row],[Start Date]]&gt;TODAY(),1,)</f>
        <v>0</v>
      </c>
      <c r="AG151" s="378">
        <f>IF(ISBLANK(Table2[[#This Row],[Primary Instructor]]),0,1)</f>
        <v>1</v>
      </c>
      <c r="AH151" s="378">
        <f>IF(ISBLANK(Table2[[#This Row],[Instructor 2]]),0,1)</f>
        <v>1</v>
      </c>
      <c r="AI151" s="378">
        <f>Table2[[#This Row],[Course Length (Hours)]]/(SUM(Table2[[#This Row],[1]:[2]]))</f>
        <v>20</v>
      </c>
      <c r="AJ151" s="378">
        <v>0</v>
      </c>
      <c r="AK151" s="526">
        <v>2</v>
      </c>
    </row>
    <row r="152" spans="1:37" s="373" customFormat="1" x14ac:dyDescent="0.25">
      <c r="A152" s="374"/>
      <c r="B152" s="411" t="s">
        <v>40</v>
      </c>
      <c r="C152" s="374" t="str">
        <f>VLOOKUP(Table2[[#This Row],[Course Title]],'TSD-Data'!$A$1:$E$56,2,FALSE)</f>
        <v>A-493-2098</v>
      </c>
      <c r="D152" s="374" t="str">
        <f>VLOOKUP(Table2[[#This Row],[Course Title]],'TSD-Data'!$A$1:$E$56,3,FALSE)</f>
        <v>09WW</v>
      </c>
      <c r="E152" s="411" t="s">
        <v>86</v>
      </c>
      <c r="F152" s="416">
        <v>45698</v>
      </c>
      <c r="G152" s="416">
        <v>45699</v>
      </c>
      <c r="H152" s="377"/>
      <c r="I152" s="380">
        <v>0.5</v>
      </c>
      <c r="J152" s="380">
        <v>0.375</v>
      </c>
      <c r="K152" s="380">
        <v>0.83333333333333337</v>
      </c>
      <c r="L152" s="380">
        <v>0.75</v>
      </c>
      <c r="M152" s="380">
        <v>0.29166666666666669</v>
      </c>
      <c r="N152" s="380">
        <v>8.3333333333333329E-2</v>
      </c>
      <c r="O152" s="401" t="s">
        <v>282</v>
      </c>
      <c r="P152" s="401"/>
      <c r="Q152" s="365"/>
      <c r="R152" s="378">
        <f>VLOOKUP(Table2[[#This Row],[Course Title]],'TSD-Data'!$A$1:$E$56,4,FALSE)</f>
        <v>100</v>
      </c>
      <c r="S152" s="378">
        <f>VLOOKUP(Table2[[#This Row],[Course Title]],'TSD-Data'!$A$1:$F$53,6,FALSE)</f>
        <v>16</v>
      </c>
      <c r="T152" s="378">
        <f>VLOOKUP(Table2[[#This Row],[Course Title]],'TSD-Data'!$A$1:$E$56,5,FALSE)</f>
        <v>2</v>
      </c>
      <c r="U152" s="378">
        <v>1432</v>
      </c>
      <c r="V152" s="378">
        <f>Table2[[#This Row],[Quotas]]-Table2[[#This Row],[Open Quotas]]</f>
        <v>95</v>
      </c>
      <c r="W152" s="378">
        <v>5</v>
      </c>
      <c r="X152" s="402">
        <v>60</v>
      </c>
      <c r="Y152" s="402">
        <v>13</v>
      </c>
      <c r="Z152" s="374">
        <v>29</v>
      </c>
      <c r="AA152" s="374">
        <v>1</v>
      </c>
      <c r="AB152" s="402">
        <v>0</v>
      </c>
      <c r="AC152" s="378" t="s">
        <v>287</v>
      </c>
      <c r="AD152" s="403">
        <f ca="1">Table2[[#This Row],[End Date]]+2-TODAY()</f>
        <v>-76</v>
      </c>
      <c r="AE152" s="378">
        <f>IF(ISBLANK(Table2[[#This Row],[Received by]]),1,0)</f>
        <v>0</v>
      </c>
      <c r="AF152" s="378">
        <f ca="1">IF(Table2[[#This Row],[Start Date]]&gt;TODAY(),1,)</f>
        <v>0</v>
      </c>
      <c r="AG152" s="378">
        <f>IF(ISBLANK(Table2[[#This Row],[Primary Instructor]]),0,1)</f>
        <v>1</v>
      </c>
      <c r="AH152" s="378">
        <f>IF(ISBLANK(Table2[[#This Row],[Instructor 2]]),0,1)</f>
        <v>0</v>
      </c>
      <c r="AI152" s="378">
        <f>Table2[[#This Row],[Course Length (Hours)]]/(SUM(Table2[[#This Row],[1]:[2]]))</f>
        <v>16</v>
      </c>
      <c r="AJ152" s="378">
        <v>5</v>
      </c>
      <c r="AK152" s="526">
        <v>2</v>
      </c>
    </row>
    <row r="153" spans="1:37" s="373" customFormat="1" x14ac:dyDescent="0.25">
      <c r="A153" s="389" t="s">
        <v>532</v>
      </c>
      <c r="B153" s="411" t="s">
        <v>358</v>
      </c>
      <c r="C153" s="367" t="str">
        <f>VLOOKUP(Table2[[#This Row],[Course Title]],'TSD-Data'!$A$1:$E$56,2,FALSE)</f>
        <v>Reserved</v>
      </c>
      <c r="D153" s="367" t="str">
        <f>VLOOKUP(Table2[[#This Row],[Course Title]],'TSD-Data'!$A$1:$E$56,3,FALSE)</f>
        <v xml:space="preserve">Reserved </v>
      </c>
      <c r="E153" s="411" t="s">
        <v>199</v>
      </c>
      <c r="F153" s="416">
        <v>45699</v>
      </c>
      <c r="G153" s="416">
        <v>45701</v>
      </c>
      <c r="H153" s="370">
        <v>800</v>
      </c>
      <c r="I153" s="370">
        <v>800</v>
      </c>
      <c r="J153" s="370">
        <v>800</v>
      </c>
      <c r="K153" s="370">
        <v>800</v>
      </c>
      <c r="L153" s="370">
        <v>800</v>
      </c>
      <c r="M153" s="370">
        <v>800</v>
      </c>
      <c r="N153" s="370">
        <v>800</v>
      </c>
      <c r="O153" s="389"/>
      <c r="P153" s="389"/>
      <c r="Q153" s="365"/>
      <c r="R153" s="372">
        <f>VLOOKUP(Table2[[#This Row],[Course Title]],'TSD-Data'!$A$1:$E$56,4,FALSE)</f>
        <v>0</v>
      </c>
      <c r="S153" s="372">
        <f>VLOOKUP(Table2[[#This Row],[Course Title]],'TSD-Data'!$A$1:$F$53,6,FALSE)</f>
        <v>0</v>
      </c>
      <c r="T153" s="372">
        <f>VLOOKUP(Table2[[#This Row],[Course Title]],'TSD-Data'!$A$1:$E$56,5,FALSE)</f>
        <v>0</v>
      </c>
      <c r="U153" s="369">
        <v>0</v>
      </c>
      <c r="V153" s="369">
        <f>Table2[[#This Row],[Quotas]]-Table2[[#This Row],[Open Quotas]]</f>
        <v>0</v>
      </c>
      <c r="W153" s="369">
        <v>0</v>
      </c>
      <c r="X153" s="369">
        <v>0</v>
      </c>
      <c r="Y153" s="369">
        <v>0</v>
      </c>
      <c r="Z153" s="369">
        <v>0</v>
      </c>
      <c r="AA153" s="369">
        <v>0</v>
      </c>
      <c r="AB153" s="369">
        <v>0</v>
      </c>
      <c r="AC153" s="372" t="s">
        <v>285</v>
      </c>
      <c r="AD153" s="419">
        <f ca="1">Table2[[#This Row],[End Date]]+2-TODAY()</f>
        <v>-74</v>
      </c>
      <c r="AE153" s="414">
        <f>IF(ISBLANK(Table2[[#This Row],[Received by]]),1,0)</f>
        <v>0</v>
      </c>
      <c r="AF153" s="414">
        <f ca="1">IF(Table2[[#This Row],[Start Date]]&gt;TODAY(),1,)</f>
        <v>0</v>
      </c>
      <c r="AG153" s="414">
        <f>IF(ISBLANK(Table2[[#This Row],[Primary Instructor]]),0,1)</f>
        <v>0</v>
      </c>
      <c r="AH153" s="414">
        <f>IF(ISBLANK(Table2[[#This Row],[Instructor 2]]),0,1)</f>
        <v>0</v>
      </c>
      <c r="AI153" s="414" t="e">
        <f>Table2[[#This Row],[Course Length (Hours)]]/(SUM(Table2[[#This Row],[1]:[2]]))</f>
        <v>#DIV/0!</v>
      </c>
      <c r="AJ153" s="414"/>
      <c r="AK153" s="414"/>
    </row>
    <row r="154" spans="1:37" s="408" customFormat="1" x14ac:dyDescent="0.25">
      <c r="A154" s="389"/>
      <c r="B154" s="411" t="s">
        <v>61</v>
      </c>
      <c r="C154" s="367" t="str">
        <f>VLOOKUP(Table2[[#This Row],[Course Title]],'TSD-Data'!$A$1:$E$56,2,FALSE)</f>
        <v>A-493-0078</v>
      </c>
      <c r="D154" s="367">
        <f>VLOOKUP(Table2[[#This Row],[Course Title]],'TSD-Data'!$A$1:$E$56,3,FALSE)</f>
        <v>1228</v>
      </c>
      <c r="E154" s="411" t="s">
        <v>86</v>
      </c>
      <c r="F154" s="416">
        <v>45699</v>
      </c>
      <c r="G154" s="416">
        <v>45702</v>
      </c>
      <c r="H154" s="420"/>
      <c r="I154" s="421">
        <v>0.33333333333333331</v>
      </c>
      <c r="J154" s="422">
        <v>0.20833333333333334</v>
      </c>
      <c r="K154" s="422">
        <v>0.66666666666666663</v>
      </c>
      <c r="L154" s="422">
        <v>0.58333333333333337</v>
      </c>
      <c r="M154" s="422">
        <v>0.125</v>
      </c>
      <c r="N154" s="422">
        <v>0.91666666666666663</v>
      </c>
      <c r="O154" s="389" t="s">
        <v>304</v>
      </c>
      <c r="P154" s="389"/>
      <c r="Q154" s="365"/>
      <c r="R154" s="372">
        <f>VLOOKUP(Table2[[#This Row],[Course Title]],'TSD-Data'!$A$1:$E$56,4,FALSE)</f>
        <v>45</v>
      </c>
      <c r="S154" s="372">
        <f>VLOOKUP(Table2[[#This Row],[Course Title]],'TSD-Data'!$A$1:$F$53,6,FALSE)</f>
        <v>32</v>
      </c>
      <c r="T154" s="372">
        <f>VLOOKUP(Table2[[#This Row],[Course Title]],'TSD-Data'!$A$1:$E$56,5,FALSE)</f>
        <v>4</v>
      </c>
      <c r="U154" s="372">
        <v>508</v>
      </c>
      <c r="V154" s="372">
        <f>Table2[[#This Row],[Quotas]]-Table2[[#This Row],[Open Quotas]]</f>
        <v>43</v>
      </c>
      <c r="W154" s="372">
        <v>5</v>
      </c>
      <c r="X154" s="372">
        <v>41</v>
      </c>
      <c r="Y154" s="394">
        <v>1</v>
      </c>
      <c r="Z154" s="372">
        <v>7</v>
      </c>
      <c r="AA154" s="372">
        <v>5</v>
      </c>
      <c r="AB154" s="372">
        <v>0</v>
      </c>
      <c r="AC154" s="372" t="s">
        <v>291</v>
      </c>
      <c r="AD154" s="394">
        <f ca="1">Table2[[#This Row],[End Date]]+2-TODAY()</f>
        <v>-73</v>
      </c>
      <c r="AE154" s="372">
        <f>IF(ISBLANK(Table2[[#This Row],[Received by]]),1,0)</f>
        <v>0</v>
      </c>
      <c r="AF154" s="372">
        <f ca="1">IF(Table2[[#This Row],[Start Date]]&gt;TODAY(),1,)</f>
        <v>0</v>
      </c>
      <c r="AG154" s="372">
        <f>IF(ISBLANK(Table2[[#This Row],[Primary Instructor]]),0,1)</f>
        <v>1</v>
      </c>
      <c r="AH154" s="372">
        <f>IF(ISBLANK(Table2[[#This Row],[Instructor 2]]),0,1)</f>
        <v>0</v>
      </c>
      <c r="AI154" s="372">
        <f>Table2[[#This Row],[Course Length (Hours)]]/(SUM(Table2[[#This Row],[1]:[2]]))</f>
        <v>32</v>
      </c>
      <c r="AJ154" s="372">
        <v>2</v>
      </c>
      <c r="AK154" s="396">
        <v>2</v>
      </c>
    </row>
    <row r="155" spans="1:37" s="373" customFormat="1" x14ac:dyDescent="0.25">
      <c r="A155" s="389"/>
      <c r="B155" s="411" t="s">
        <v>42</v>
      </c>
      <c r="C155" s="367" t="str">
        <f>VLOOKUP(Table2[[#This Row],[Course Title]],'TSD-Data'!$A$1:$E$56,2,FALSE)</f>
        <v>A-493-0015</v>
      </c>
      <c r="D155" s="367">
        <f>VLOOKUP(Table2[[#This Row],[Course Title]],'TSD-Data'!$A$1:$E$56,3,FALSE)</f>
        <v>3879</v>
      </c>
      <c r="E155" s="411" t="s">
        <v>86</v>
      </c>
      <c r="F155" s="416">
        <v>45700</v>
      </c>
      <c r="G155" s="416">
        <v>45700</v>
      </c>
      <c r="H155" s="397"/>
      <c r="I155" s="381">
        <v>0.79166666666666663</v>
      </c>
      <c r="J155" s="381">
        <v>0.66666666666666663</v>
      </c>
      <c r="K155" s="381">
        <v>0.125</v>
      </c>
      <c r="L155" s="381">
        <v>4.1666666666666664E-2</v>
      </c>
      <c r="M155" s="381">
        <v>0.58333333333333337</v>
      </c>
      <c r="N155" s="381">
        <v>0.375</v>
      </c>
      <c r="O155" s="389" t="s">
        <v>316</v>
      </c>
      <c r="P155" s="389"/>
      <c r="Q155" s="365"/>
      <c r="R155" s="372">
        <f>VLOOKUP(Table2[[#This Row],[Course Title]],'TSD-Data'!$A$1:$E$56,4,FALSE)</f>
        <v>30</v>
      </c>
      <c r="S155" s="372">
        <f>VLOOKUP(Table2[[#This Row],[Course Title]],'TSD-Data'!$A$1:$F$53,6,FALSE)</f>
        <v>4</v>
      </c>
      <c r="T155" s="372">
        <f>VLOOKUP(Table2[[#This Row],[Course Title]],'TSD-Data'!$A$1:$E$56,5,FALSE)</f>
        <v>0.5</v>
      </c>
      <c r="U155" s="372">
        <v>0</v>
      </c>
      <c r="V155" s="372">
        <f>Table2[[#This Row],[Quotas]]-Table2[[#This Row],[Open Quotas]]</f>
        <v>30</v>
      </c>
      <c r="W155" s="372">
        <v>1</v>
      </c>
      <c r="X155" s="372">
        <v>29</v>
      </c>
      <c r="Y155" s="394">
        <v>0</v>
      </c>
      <c r="Z155" s="372">
        <v>1</v>
      </c>
      <c r="AA155" s="372">
        <v>0</v>
      </c>
      <c r="AB155" s="367">
        <v>0</v>
      </c>
      <c r="AC155" s="372"/>
      <c r="AD155" s="394">
        <f ca="1">Table2[[#This Row],[End Date]]+2-TODAY()</f>
        <v>-75</v>
      </c>
      <c r="AE155" s="372">
        <f>IF(ISBLANK(Table2[[#This Row],[Received by]]),1,0)</f>
        <v>1</v>
      </c>
      <c r="AF155" s="372">
        <f ca="1">IF(Table2[[#This Row],[Start Date]]&gt;TODAY(),1,)</f>
        <v>0</v>
      </c>
      <c r="AG155" s="372">
        <f>IF(ISBLANK(Table2[[#This Row],[Primary Instructor]]),0,1)</f>
        <v>1</v>
      </c>
      <c r="AH155" s="372">
        <f>IF(ISBLANK(Table2[[#This Row],[Instructor 2]]),0,1)</f>
        <v>0</v>
      </c>
      <c r="AI155" s="372">
        <f>Table2[[#This Row],[Course Length (Hours)]]/(SUM(Table2[[#This Row],[1]:[2]]))</f>
        <v>4</v>
      </c>
      <c r="AJ155" s="414">
        <v>0</v>
      </c>
      <c r="AK155" s="396">
        <v>2</v>
      </c>
    </row>
    <row r="156" spans="1:37" s="373" customFormat="1" x14ac:dyDescent="0.25">
      <c r="A156" s="389"/>
      <c r="B156" s="411" t="s">
        <v>44</v>
      </c>
      <c r="C156" s="367" t="str">
        <f>VLOOKUP(Table2[[#This Row],[Course Title]],'TSD-Data'!$A$1:$E$56,2,FALSE)</f>
        <v>A-493-0020</v>
      </c>
      <c r="D156" s="367">
        <f>VLOOKUP(Table2[[#This Row],[Course Title]],'TSD-Data'!$A$1:$E$56,3,FALSE)</f>
        <v>3888</v>
      </c>
      <c r="E156" s="411" t="s">
        <v>86</v>
      </c>
      <c r="F156" s="416">
        <v>45701</v>
      </c>
      <c r="G156" s="416">
        <v>45701</v>
      </c>
      <c r="H156" s="392"/>
      <c r="I156" s="381">
        <v>0.79166666666666663</v>
      </c>
      <c r="J156" s="381">
        <v>0.66666666666666663</v>
      </c>
      <c r="K156" s="381">
        <v>0.125</v>
      </c>
      <c r="L156" s="381">
        <v>4.1666666666666664E-2</v>
      </c>
      <c r="M156" s="381">
        <v>0.58333333333333337</v>
      </c>
      <c r="N156" s="381">
        <v>0.375</v>
      </c>
      <c r="O156" s="389" t="s">
        <v>316</v>
      </c>
      <c r="P156" s="389"/>
      <c r="Q156" s="365"/>
      <c r="R156" s="372">
        <f>VLOOKUP(Table2[[#This Row],[Course Title]],'TSD-Data'!$A$1:$E$56,4,FALSE)</f>
        <v>30</v>
      </c>
      <c r="S156" s="372">
        <f>VLOOKUP(Table2[[#This Row],[Course Title]],'TSD-Data'!$A$1:$F$53,6,FALSE)</f>
        <v>4</v>
      </c>
      <c r="T156" s="372">
        <f>VLOOKUP(Table2[[#This Row],[Course Title]],'TSD-Data'!$A$1:$E$56,5,FALSE)</f>
        <v>0.5</v>
      </c>
      <c r="U156" s="372">
        <v>0</v>
      </c>
      <c r="V156" s="372">
        <f>Table2[[#This Row],[Quotas]]-Table2[[#This Row],[Open Quotas]]</f>
        <v>21</v>
      </c>
      <c r="W156" s="372">
        <v>0</v>
      </c>
      <c r="X156" s="372">
        <v>18</v>
      </c>
      <c r="Y156" s="394">
        <v>0</v>
      </c>
      <c r="Z156" s="372">
        <v>3</v>
      </c>
      <c r="AA156" s="372">
        <v>0</v>
      </c>
      <c r="AB156" s="394">
        <v>0</v>
      </c>
      <c r="AC156" s="372" t="s">
        <v>287</v>
      </c>
      <c r="AD156" s="394">
        <f ca="1">Table2[[#This Row],[End Date]]+2-TODAY()</f>
        <v>-74</v>
      </c>
      <c r="AE156" s="372">
        <f>IF(ISBLANK(Table2[[#This Row],[Received by]]),1,0)</f>
        <v>0</v>
      </c>
      <c r="AF156" s="372">
        <f ca="1">IF(Table2[[#This Row],[Start Date]]&gt;TODAY(),1,)</f>
        <v>0</v>
      </c>
      <c r="AG156" s="372">
        <f>IF(ISBLANK(Table2[[#This Row],[Primary Instructor]]),0,1)</f>
        <v>1</v>
      </c>
      <c r="AH156" s="372">
        <f>IF(ISBLANK(Table2[[#This Row],[Instructor 2]]),0,1)</f>
        <v>0</v>
      </c>
      <c r="AI156" s="372">
        <f>Table2[[#This Row],[Course Length (Hours)]]/(SUM(Table2[[#This Row],[1]:[2]]))</f>
        <v>4</v>
      </c>
      <c r="AJ156" s="414">
        <v>9</v>
      </c>
      <c r="AK156" s="396">
        <v>2</v>
      </c>
    </row>
    <row r="157" spans="1:37" s="408" customFormat="1" x14ac:dyDescent="0.25">
      <c r="A157" s="389"/>
      <c r="B157" s="411" t="s">
        <v>31</v>
      </c>
      <c r="C157" s="367" t="str">
        <f>VLOOKUP(Table2[[#This Row],[Course Title]],'TSD-Data'!$A$1:$E$56,2,FALSE)</f>
        <v>A-493-0083</v>
      </c>
      <c r="D157" s="367" t="str">
        <f>VLOOKUP(Table2[[#This Row],[Course Title]],'TSD-Data'!$A$1:$E$56,3,FALSE)</f>
        <v>339E</v>
      </c>
      <c r="E157" s="411" t="s">
        <v>164</v>
      </c>
      <c r="F157" s="416">
        <v>45701</v>
      </c>
      <c r="G157" s="416">
        <v>45701</v>
      </c>
      <c r="H157" s="370">
        <v>0.33333333333333331</v>
      </c>
      <c r="I157" s="392"/>
      <c r="J157" s="392"/>
      <c r="K157" s="393"/>
      <c r="L157" s="393"/>
      <c r="M157" s="393"/>
      <c r="N157" s="393"/>
      <c r="O157" s="389" t="s">
        <v>280</v>
      </c>
      <c r="P157" s="389"/>
      <c r="Q157" s="365"/>
      <c r="R157" s="372">
        <f>VLOOKUP(Table2[[#This Row],[Course Title]],'TSD-Data'!$A$1:$E$56,4,FALSE)</f>
        <v>30</v>
      </c>
      <c r="S157" s="372">
        <f>VLOOKUP(Table2[[#This Row],[Course Title]],'TSD-Data'!$A$1:$F$53,6,FALSE)</f>
        <v>8</v>
      </c>
      <c r="T157" s="372">
        <f>VLOOKUP(Table2[[#This Row],[Course Title]],'TSD-Data'!$A$1:$E$56,5,FALSE)</f>
        <v>1</v>
      </c>
      <c r="U157" s="372">
        <v>112</v>
      </c>
      <c r="V157" s="372">
        <f>Table2[[#This Row],[Quotas]]-Table2[[#This Row],[Open Quotas]]</f>
        <v>16</v>
      </c>
      <c r="W157" s="372">
        <v>0</v>
      </c>
      <c r="X157" s="372">
        <v>20</v>
      </c>
      <c r="Y157" s="394">
        <v>0</v>
      </c>
      <c r="Z157" s="372">
        <v>2</v>
      </c>
      <c r="AA157" s="372">
        <v>6</v>
      </c>
      <c r="AB157" s="372">
        <v>0</v>
      </c>
      <c r="AC157" s="372" t="s">
        <v>287</v>
      </c>
      <c r="AD157" s="394">
        <f ca="1">Table2[[#This Row],[End Date]]+2-TODAY()</f>
        <v>-74</v>
      </c>
      <c r="AE157" s="372">
        <f>IF(ISBLANK(Table2[[#This Row],[Received by]]),1,0)</f>
        <v>0</v>
      </c>
      <c r="AF157" s="372">
        <f ca="1">IF(Table2[[#This Row],[Start Date]]&gt;TODAY(),1,)</f>
        <v>0</v>
      </c>
      <c r="AG157" s="372">
        <f>IF(ISBLANK(Table2[[#This Row],[Primary Instructor]]),0,1)</f>
        <v>1</v>
      </c>
      <c r="AH157" s="372">
        <f>IF(ISBLANK(Table2[[#This Row],[Instructor 2]]),0,1)</f>
        <v>0</v>
      </c>
      <c r="AI157" s="372">
        <f>Table2[[#This Row],[Course Length (Hours)]]/(SUM(Table2[[#This Row],[1]:[2]]))</f>
        <v>8</v>
      </c>
      <c r="AJ157" s="372">
        <v>14</v>
      </c>
      <c r="AK157" s="396">
        <v>2</v>
      </c>
    </row>
    <row r="158" spans="1:37" s="373" customFormat="1" x14ac:dyDescent="0.25">
      <c r="A158" s="389"/>
      <c r="B158" s="411" t="s">
        <v>31</v>
      </c>
      <c r="C158" s="367" t="str">
        <f>VLOOKUP(Table2[[#This Row],[Course Title]],'TSD-Data'!$A$1:$E$56,2,FALSE)</f>
        <v>A-493-0083</v>
      </c>
      <c r="D158" s="367" t="str">
        <f>VLOOKUP(Table2[[#This Row],[Course Title]],'TSD-Data'!$A$1:$E$56,3,FALSE)</f>
        <v>339E</v>
      </c>
      <c r="E158" s="411" t="s">
        <v>164</v>
      </c>
      <c r="F158" s="416">
        <v>45702</v>
      </c>
      <c r="G158" s="416">
        <v>45702</v>
      </c>
      <c r="H158" s="422">
        <v>0.33333333333333331</v>
      </c>
      <c r="I158" s="423"/>
      <c r="J158" s="423"/>
      <c r="K158" s="424"/>
      <c r="L158" s="424"/>
      <c r="M158" s="424"/>
      <c r="N158" s="424"/>
      <c r="O158" s="389" t="s">
        <v>280</v>
      </c>
      <c r="P158" s="389"/>
      <c r="Q158" s="365"/>
      <c r="R158" s="372">
        <f>VLOOKUP(Table2[[#This Row],[Course Title]],'TSD-Data'!$A$1:$E$56,4,FALSE)</f>
        <v>30</v>
      </c>
      <c r="S158" s="372">
        <f>VLOOKUP(Table2[[#This Row],[Course Title]],'TSD-Data'!$A$1:$F$53,6,FALSE)</f>
        <v>8</v>
      </c>
      <c r="T158" s="372">
        <f>VLOOKUP(Table2[[#This Row],[Course Title]],'TSD-Data'!$A$1:$E$56,5,FALSE)</f>
        <v>1</v>
      </c>
      <c r="U158" s="372">
        <v>112</v>
      </c>
      <c r="V158" s="372">
        <f>Table2[[#This Row],[Quotas]]-Table2[[#This Row],[Open Quotas]]</f>
        <v>12</v>
      </c>
      <c r="W158" s="372">
        <v>0</v>
      </c>
      <c r="X158" s="372">
        <v>13</v>
      </c>
      <c r="Y158" s="394">
        <v>0</v>
      </c>
      <c r="Z158" s="372">
        <v>1</v>
      </c>
      <c r="AA158" s="372">
        <v>3</v>
      </c>
      <c r="AB158" s="372">
        <v>0</v>
      </c>
      <c r="AC158" s="372" t="s">
        <v>287</v>
      </c>
      <c r="AD158" s="394">
        <f ca="1">Table2[[#This Row],[End Date]]+2-TODAY()</f>
        <v>-73</v>
      </c>
      <c r="AE158" s="372">
        <f>IF(ISBLANK(Table2[[#This Row],[Received by]]),1,0)</f>
        <v>0</v>
      </c>
      <c r="AF158" s="372">
        <f ca="1">IF(Table2[[#This Row],[Start Date]]&gt;TODAY(),1,)</f>
        <v>0</v>
      </c>
      <c r="AG158" s="372">
        <f>IF(ISBLANK(Table2[[#This Row],[Primary Instructor]]),0,1)</f>
        <v>1</v>
      </c>
      <c r="AH158" s="372">
        <f>IF(ISBLANK(Table2[[#This Row],[Instructor 2]]),0,1)</f>
        <v>0</v>
      </c>
      <c r="AI158" s="372">
        <f>Table2[[#This Row],[Course Length (Hours)]]/(SUM(Table2[[#This Row],[1]:[2]]))</f>
        <v>8</v>
      </c>
      <c r="AJ158" s="372">
        <v>18</v>
      </c>
      <c r="AK158" s="396">
        <v>2</v>
      </c>
    </row>
    <row r="159" spans="1:37" s="408" customFormat="1" x14ac:dyDescent="0.25">
      <c r="A159" s="425" t="s">
        <v>441</v>
      </c>
      <c r="B159" s="426" t="s">
        <v>223</v>
      </c>
      <c r="C159" s="427" t="str">
        <f>VLOOKUP(Table2[[#This Row],[Course Title]],'TSD-Data'!$A$1:$E$56,2,FALSE)</f>
        <v>Holiday</v>
      </c>
      <c r="D159" s="427" t="str">
        <f>VLOOKUP(Table2[[#This Row],[Course Title]],'TSD-Data'!$A$1:$E$56,3,FALSE)</f>
        <v>Holiday</v>
      </c>
      <c r="E159" s="426" t="s">
        <v>223</v>
      </c>
      <c r="F159" s="428">
        <v>45705</v>
      </c>
      <c r="G159" s="428">
        <v>45705</v>
      </c>
      <c r="H159" s="422"/>
      <c r="I159" s="422"/>
      <c r="J159" s="420"/>
      <c r="K159" s="420"/>
      <c r="L159" s="420"/>
      <c r="M159" s="420"/>
      <c r="N159" s="420"/>
      <c r="O159" s="429"/>
      <c r="P159" s="429"/>
      <c r="Q159" s="365"/>
      <c r="R159" s="414">
        <f>VLOOKUP(Table2[[#This Row],[Course Title]],'TSD-Data'!$A$1:$E$56,4,FALSE)</f>
        <v>0</v>
      </c>
      <c r="S159" s="414">
        <f>VLOOKUP(Table2[[#This Row],[Course Title]],'TSD-Data'!$A$1:$F$53,6,FALSE)</f>
        <v>0</v>
      </c>
      <c r="T159" s="414">
        <f>VLOOKUP(Table2[[#This Row],[Course Title]],'TSD-Data'!$A$1:$E$56,5,FALSE)</f>
        <v>0</v>
      </c>
      <c r="U159" s="414">
        <v>0</v>
      </c>
      <c r="V159" s="414">
        <f>Table2[[#This Row],[Quotas]]-Table2[[#This Row],[Open Quotas]]</f>
        <v>0</v>
      </c>
      <c r="W159" s="414">
        <v>0</v>
      </c>
      <c r="X159" s="414">
        <v>0</v>
      </c>
      <c r="Y159" s="414">
        <v>0</v>
      </c>
      <c r="Z159" s="414">
        <v>0</v>
      </c>
      <c r="AA159" s="414">
        <v>0</v>
      </c>
      <c r="AB159" s="414">
        <v>0</v>
      </c>
      <c r="AC159" s="414" t="s">
        <v>285</v>
      </c>
      <c r="AD159" s="419">
        <f ca="1">Table2[[#This Row],[End Date]]+2-TODAY()</f>
        <v>-70</v>
      </c>
      <c r="AE159" s="414">
        <f>IF(ISBLANK(Table2[[#This Row],[Received by]]),1,0)</f>
        <v>0</v>
      </c>
      <c r="AF159" s="414">
        <f ca="1">IF(Table2[[#This Row],[Start Date]]&gt;TODAY(),1,)</f>
        <v>0</v>
      </c>
      <c r="AG159" s="414">
        <f>IF(ISBLANK(Table2[[#This Row],[Primary Instructor]]),0,1)</f>
        <v>0</v>
      </c>
      <c r="AH159" s="414">
        <f>IF(ISBLANK(Table2[[#This Row],[Instructor 2]]),0,1)</f>
        <v>0</v>
      </c>
      <c r="AI159" s="414" t="e">
        <f>Table2[[#This Row],[Course Length (Hours)]]/(SUM(Table2[[#This Row],[1]:[2]]))</f>
        <v>#DIV/0!</v>
      </c>
      <c r="AJ159" s="414"/>
      <c r="AK159" s="430"/>
    </row>
    <row r="160" spans="1:37" s="373" customFormat="1" x14ac:dyDescent="0.25">
      <c r="A160" s="389"/>
      <c r="B160" s="411" t="s">
        <v>57</v>
      </c>
      <c r="C160" s="367" t="str">
        <f>VLOOKUP(Table2[[#This Row],[Course Title]],'TSD-Data'!$A$1:$E$56,2,FALSE)</f>
        <v>A-493-0099</v>
      </c>
      <c r="D160" s="367" t="str">
        <f>VLOOKUP(Table2[[#This Row],[Course Title]],'TSD-Data'!$A$1:$E$56,3,FALSE)</f>
        <v>12JW</v>
      </c>
      <c r="E160" s="411" t="s">
        <v>86</v>
      </c>
      <c r="F160" s="416">
        <v>45706</v>
      </c>
      <c r="G160" s="416">
        <v>45708</v>
      </c>
      <c r="H160" s="370"/>
      <c r="I160" s="370">
        <v>0.33333333333333331</v>
      </c>
      <c r="J160" s="370">
        <v>0.20833333333333334</v>
      </c>
      <c r="K160" s="370">
        <v>0.66666666666666663</v>
      </c>
      <c r="L160" s="370">
        <v>0.58333333333333337</v>
      </c>
      <c r="M160" s="370">
        <v>0.125</v>
      </c>
      <c r="N160" s="370">
        <v>0.91666666666666663</v>
      </c>
      <c r="O160" s="389" t="s">
        <v>305</v>
      </c>
      <c r="P160" s="389"/>
      <c r="Q160" s="365"/>
      <c r="R160" s="372">
        <f>VLOOKUP(Table2[[#This Row],[Course Title]],'TSD-Data'!$A$1:$E$56,4,FALSE)</f>
        <v>45</v>
      </c>
      <c r="S160" s="372">
        <f>VLOOKUP(Table2[[#This Row],[Course Title]],'TSD-Data'!$A$1:$F$53,6,FALSE)</f>
        <v>24</v>
      </c>
      <c r="T160" s="372">
        <f>VLOOKUP(Table2[[#This Row],[Course Title]],'TSD-Data'!$A$1:$E$56,5,FALSE)</f>
        <v>3</v>
      </c>
      <c r="U160" s="372">
        <v>368</v>
      </c>
      <c r="V160" s="372">
        <f>Table2[[#This Row],[Quotas]]-Table2[[#This Row],[Open Quotas]]</f>
        <v>24</v>
      </c>
      <c r="W160" s="372">
        <v>0</v>
      </c>
      <c r="X160" s="394">
        <v>26</v>
      </c>
      <c r="Y160" s="394">
        <v>0</v>
      </c>
      <c r="Z160" s="372">
        <v>4</v>
      </c>
      <c r="AA160" s="372">
        <v>3</v>
      </c>
      <c r="AB160" s="372">
        <v>0</v>
      </c>
      <c r="AC160" s="372" t="s">
        <v>291</v>
      </c>
      <c r="AD160" s="394">
        <f ca="1">Table2[[#This Row],[End Date]]+2-TODAY()</f>
        <v>-67</v>
      </c>
      <c r="AE160" s="372">
        <f>IF(ISBLANK(Table2[[#This Row],[Received by]]),1,0)</f>
        <v>0</v>
      </c>
      <c r="AF160" s="372">
        <f ca="1">IF(Table2[[#This Row],[Start Date]]&gt;TODAY(),1,)</f>
        <v>0</v>
      </c>
      <c r="AG160" s="372">
        <f>IF(ISBLANK(Table2[[#This Row],[Primary Instructor]]),0,1)</f>
        <v>1</v>
      </c>
      <c r="AH160" s="372">
        <f>IF(ISBLANK(Table2[[#This Row],[Instructor 2]]),0,1)</f>
        <v>0</v>
      </c>
      <c r="AI160" s="372">
        <f>Table2[[#This Row],[Course Length (Hours)]]/(SUM(Table2[[#This Row],[1]:[2]]))</f>
        <v>24</v>
      </c>
      <c r="AJ160" s="372">
        <v>21</v>
      </c>
      <c r="AK160" s="396">
        <v>2</v>
      </c>
    </row>
    <row r="161" spans="1:37" s="373" customFormat="1" x14ac:dyDescent="0.25">
      <c r="A161" s="390"/>
      <c r="B161" s="411" t="s">
        <v>38</v>
      </c>
      <c r="C161" s="367" t="str">
        <f>VLOOKUP(Table2[[#This Row],[Course Title]],'TSD-Data'!$A$1:$E$56,2,FALSE)</f>
        <v>A-493-0061</v>
      </c>
      <c r="D161" s="367" t="str">
        <f>VLOOKUP(Table2[[#This Row],[Course Title]],'TSD-Data'!$A$1:$E$56,3,FALSE)</f>
        <v>288E</v>
      </c>
      <c r="E161" s="411" t="s">
        <v>86</v>
      </c>
      <c r="F161" s="416">
        <v>45706</v>
      </c>
      <c r="G161" s="416">
        <v>45709</v>
      </c>
      <c r="H161" s="370"/>
      <c r="I161" s="381">
        <v>0.5</v>
      </c>
      <c r="J161" s="381">
        <v>0.375</v>
      </c>
      <c r="K161" s="381">
        <v>0.83333333333333337</v>
      </c>
      <c r="L161" s="381">
        <v>0.75</v>
      </c>
      <c r="M161" s="381">
        <v>0.29166666666666669</v>
      </c>
      <c r="N161" s="381">
        <v>8.3333333333333329E-2</v>
      </c>
      <c r="O161" s="389" t="s">
        <v>303</v>
      </c>
      <c r="P161" s="389"/>
      <c r="Q161" s="365"/>
      <c r="R161" s="372">
        <f>VLOOKUP(Table2[[#This Row],[Course Title]],'TSD-Data'!$A$1:$E$56,4,FALSE)</f>
        <v>45</v>
      </c>
      <c r="S161" s="372">
        <f>VLOOKUP(Table2[[#This Row],[Course Title]],'TSD-Data'!$A$1:$F$53,6,FALSE)</f>
        <v>30</v>
      </c>
      <c r="T161" s="372">
        <f>VLOOKUP(Table2[[#This Row],[Course Title]],'TSD-Data'!$A$1:$E$56,5,FALSE)</f>
        <v>4</v>
      </c>
      <c r="U161" s="372">
        <v>533</v>
      </c>
      <c r="V161" s="372">
        <f>Table2[[#This Row],[Quotas]]-Table2[[#This Row],[Open Quotas]]</f>
        <v>26</v>
      </c>
      <c r="W161" s="372">
        <v>0</v>
      </c>
      <c r="X161" s="394">
        <v>25</v>
      </c>
      <c r="Y161" s="394">
        <v>0</v>
      </c>
      <c r="Z161" s="372">
        <v>2</v>
      </c>
      <c r="AA161" s="372">
        <v>0</v>
      </c>
      <c r="AB161" s="372">
        <v>0</v>
      </c>
      <c r="AC161" s="372" t="s">
        <v>291</v>
      </c>
      <c r="AD161" s="394">
        <f ca="1">Table2[[#This Row],[End Date]]+2-TODAY()</f>
        <v>-66</v>
      </c>
      <c r="AE161" s="372">
        <f>IF(ISBLANK(Table2[[#This Row],[Received by]]),1,0)</f>
        <v>0</v>
      </c>
      <c r="AF161" s="372">
        <f ca="1">IF(Table2[[#This Row],[Start Date]]&gt;TODAY(),1,)</f>
        <v>0</v>
      </c>
      <c r="AG161" s="372">
        <f>IF(ISBLANK(Table2[[#This Row],[Primary Instructor]]),0,1)</f>
        <v>1</v>
      </c>
      <c r="AH161" s="372">
        <f>IF(ISBLANK(Table2[[#This Row],[Instructor 2]]),0,1)</f>
        <v>0</v>
      </c>
      <c r="AI161" s="372">
        <f>Table2[[#This Row],[Course Length (Hours)]]/(SUM(Table2[[#This Row],[1]:[2]]))</f>
        <v>30</v>
      </c>
      <c r="AJ161" s="414">
        <v>19</v>
      </c>
      <c r="AK161" s="396">
        <v>2</v>
      </c>
    </row>
    <row r="162" spans="1:37" s="373" customFormat="1" x14ac:dyDescent="0.25">
      <c r="A162" s="390"/>
      <c r="B162" s="411" t="s">
        <v>50</v>
      </c>
      <c r="C162" s="367" t="str">
        <f>VLOOKUP(Table2[[#This Row],[Course Title]],'TSD-Data'!$A$1:$E$56,2,FALSE)</f>
        <v>A-493-0331</v>
      </c>
      <c r="D162" s="367" t="str">
        <f>VLOOKUP(Table2[[#This Row],[Course Title]],'TSD-Data'!$A$1:$E$56,3,FALSE)</f>
        <v>10UG</v>
      </c>
      <c r="E162" s="411" t="s">
        <v>86</v>
      </c>
      <c r="F162" s="416">
        <v>45706</v>
      </c>
      <c r="G162" s="416">
        <v>45708</v>
      </c>
      <c r="H162" s="397"/>
      <c r="I162" s="381">
        <v>0.5</v>
      </c>
      <c r="J162" s="381">
        <v>0.375</v>
      </c>
      <c r="K162" s="381">
        <v>0.83333333333333337</v>
      </c>
      <c r="L162" s="381">
        <v>0.75</v>
      </c>
      <c r="M162" s="381">
        <v>0.29166666666666669</v>
      </c>
      <c r="N162" s="381">
        <v>8.3333333333333329E-2</v>
      </c>
      <c r="O162" s="389" t="s">
        <v>315</v>
      </c>
      <c r="P162" s="389"/>
      <c r="Q162" s="365"/>
      <c r="R162" s="372">
        <f>VLOOKUP(Table2[[#This Row],[Course Title]],'TSD-Data'!$A$1:$E$56,4,FALSE)</f>
        <v>45</v>
      </c>
      <c r="S162" s="372">
        <f>VLOOKUP(Table2[[#This Row],[Course Title]],'TSD-Data'!$A$1:$F$53,6,FALSE)</f>
        <v>24</v>
      </c>
      <c r="T162" s="372">
        <f>VLOOKUP(Table2[[#This Row],[Course Title]],'TSD-Data'!$A$1:$E$56,5,FALSE)</f>
        <v>3</v>
      </c>
      <c r="U162" s="372">
        <v>805</v>
      </c>
      <c r="V162" s="372">
        <f>Table2[[#This Row],[Quotas]]-Table2[[#This Row],[Open Quotas]]</f>
        <v>44</v>
      </c>
      <c r="W162" s="372">
        <v>5</v>
      </c>
      <c r="X162" s="372">
        <v>36</v>
      </c>
      <c r="Y162" s="394">
        <v>0</v>
      </c>
      <c r="Z162" s="372">
        <v>13</v>
      </c>
      <c r="AA162" s="372">
        <v>4</v>
      </c>
      <c r="AB162" s="372">
        <v>0</v>
      </c>
      <c r="AC162" s="372" t="s">
        <v>281</v>
      </c>
      <c r="AD162" s="394">
        <f ca="1">Table2[[#This Row],[End Date]]+2-TODAY()</f>
        <v>-67</v>
      </c>
      <c r="AE162" s="372">
        <f>IF(ISBLANK(Table2[[#This Row],[Received by]]),1,0)</f>
        <v>0</v>
      </c>
      <c r="AF162" s="372">
        <f ca="1">IF(Table2[[#This Row],[Start Date]]&gt;TODAY(),1,)</f>
        <v>0</v>
      </c>
      <c r="AG162" s="372">
        <f>IF(ISBLANK(Table2[[#This Row],[Primary Instructor]]),0,1)</f>
        <v>1</v>
      </c>
      <c r="AH162" s="372">
        <f>IF(ISBLANK(Table2[[#This Row],[Instructor 2]]),0,1)</f>
        <v>0</v>
      </c>
      <c r="AI162" s="372">
        <f>Table2[[#This Row],[Course Length (Hours)]]/(SUM(Table2[[#This Row],[1]:[2]]))</f>
        <v>24</v>
      </c>
      <c r="AJ162" s="372">
        <v>1</v>
      </c>
      <c r="AK162" s="396">
        <v>2</v>
      </c>
    </row>
    <row r="163" spans="1:37" s="373" customFormat="1" x14ac:dyDescent="0.25">
      <c r="A163" s="367"/>
      <c r="B163" s="411" t="s">
        <v>59</v>
      </c>
      <c r="C163" s="367" t="str">
        <f>VLOOKUP(Table2[[#This Row],[Course Title]],'TSD-Data'!$A$1:$E$56,2,FALSE)</f>
        <v>A-493-0550</v>
      </c>
      <c r="D163" s="367" t="str">
        <f>VLOOKUP(Table2[[#This Row],[Course Title]],'TSD-Data'!$A$1:$E$56,3,FALSE)</f>
        <v>09K5</v>
      </c>
      <c r="E163" s="411" t="s">
        <v>86</v>
      </c>
      <c r="F163" s="416">
        <v>45706</v>
      </c>
      <c r="G163" s="416">
        <v>45709</v>
      </c>
      <c r="H163" s="370"/>
      <c r="I163" s="381">
        <v>0.79166666666666663</v>
      </c>
      <c r="J163" s="381">
        <v>0.66666666666666663</v>
      </c>
      <c r="K163" s="381">
        <v>0.125</v>
      </c>
      <c r="L163" s="381">
        <v>4.1666666666666664E-2</v>
      </c>
      <c r="M163" s="381">
        <v>0.58333333333333337</v>
      </c>
      <c r="N163" s="381">
        <v>0.375</v>
      </c>
      <c r="O163" s="389" t="s">
        <v>301</v>
      </c>
      <c r="P163" s="389"/>
      <c r="Q163" s="365"/>
      <c r="R163" s="372">
        <f>VLOOKUP(Table2[[#This Row],[Course Title]],'TSD-Data'!$A$1:$E$56,4,FALSE)</f>
        <v>45</v>
      </c>
      <c r="S163" s="372">
        <f>VLOOKUP(Table2[[#This Row],[Course Title]],'TSD-Data'!$A$1:$F$53,6,FALSE)</f>
        <v>32</v>
      </c>
      <c r="T163" s="372">
        <f>VLOOKUP(Table2[[#This Row],[Course Title]],'TSD-Data'!$A$1:$E$56,5,FALSE)</f>
        <v>4</v>
      </c>
      <c r="U163" s="372">
        <v>266</v>
      </c>
      <c r="V163" s="372">
        <f>Table2[[#This Row],[Quotas]]-Table2[[#This Row],[Open Quotas]]</f>
        <v>42</v>
      </c>
      <c r="W163" s="372">
        <v>2</v>
      </c>
      <c r="X163" s="395">
        <v>29</v>
      </c>
      <c r="Y163" s="395">
        <v>2</v>
      </c>
      <c r="Z163" s="367">
        <v>15</v>
      </c>
      <c r="AA163" s="367">
        <v>1</v>
      </c>
      <c r="AB163" s="395">
        <v>0</v>
      </c>
      <c r="AC163" s="372" t="s">
        <v>291</v>
      </c>
      <c r="AD163" s="394">
        <f ca="1">Table2[[#This Row],[End Date]]+2-TODAY()</f>
        <v>-66</v>
      </c>
      <c r="AE163" s="372">
        <f>IF(ISBLANK(Table2[[#This Row],[Received by]]),1,0)</f>
        <v>0</v>
      </c>
      <c r="AF163" s="372">
        <f ca="1">IF(Table2[[#This Row],[Start Date]]&gt;TODAY(),1,)</f>
        <v>0</v>
      </c>
      <c r="AG163" s="372">
        <f>IF(ISBLANK(Table2[[#This Row],[Primary Instructor]]),0,1)</f>
        <v>1</v>
      </c>
      <c r="AH163" s="372">
        <f>IF(ISBLANK(Table2[[#This Row],[Instructor 2]]),0,1)</f>
        <v>0</v>
      </c>
      <c r="AI163" s="372">
        <f>Table2[[#This Row],[Course Length (Hours)]]/(SUM(Table2[[#This Row],[1]:[2]]))</f>
        <v>32</v>
      </c>
      <c r="AJ163" s="372">
        <v>3</v>
      </c>
      <c r="AK163" s="396">
        <v>2</v>
      </c>
    </row>
    <row r="164" spans="1:37" s="373" customFormat="1" x14ac:dyDescent="0.25">
      <c r="A164" s="389"/>
      <c r="B164" s="411" t="s">
        <v>49</v>
      </c>
      <c r="C164" s="367" t="str">
        <f>VLOOKUP(Table2[[#This Row],[Course Title]],'TSD-Data'!$A$1:$E$56,2,FALSE)</f>
        <v>A-493-0092</v>
      </c>
      <c r="D164" s="367">
        <f>VLOOKUP(Table2[[#This Row],[Course Title]],'TSD-Data'!$A$1:$E$56,3,FALSE)</f>
        <v>5891</v>
      </c>
      <c r="E164" s="411" t="s">
        <v>220</v>
      </c>
      <c r="F164" s="383">
        <v>45707</v>
      </c>
      <c r="G164" s="383">
        <v>45709</v>
      </c>
      <c r="H164" s="370">
        <v>0.33333333333333331</v>
      </c>
      <c r="I164" s="392"/>
      <c r="J164" s="392"/>
      <c r="K164" s="392"/>
      <c r="L164" s="392"/>
      <c r="M164" s="392"/>
      <c r="N164" s="392"/>
      <c r="O164" s="389" t="s">
        <v>318</v>
      </c>
      <c r="P164" s="389"/>
      <c r="Q164" s="365"/>
      <c r="R164" s="372">
        <f>VLOOKUP(Table2[[#This Row],[Course Title]],'TSD-Data'!$A$1:$E$56,4,FALSE)</f>
        <v>25</v>
      </c>
      <c r="S164" s="372">
        <f>VLOOKUP(Table2[[#This Row],[Course Title]],'TSD-Data'!$A$1:$F$53,6,FALSE)</f>
        <v>24</v>
      </c>
      <c r="T164" s="372">
        <f>VLOOKUP(Table2[[#This Row],[Course Title]],'TSD-Data'!$A$1:$E$56,5,FALSE)</f>
        <v>3</v>
      </c>
      <c r="U164" s="372">
        <v>24</v>
      </c>
      <c r="V164" s="372">
        <f>Table2[[#This Row],[Quotas]]-Table2[[#This Row],[Open Quotas]]</f>
        <v>12</v>
      </c>
      <c r="W164" s="372">
        <v>0</v>
      </c>
      <c r="X164" s="372">
        <v>12</v>
      </c>
      <c r="Y164" s="394">
        <v>0</v>
      </c>
      <c r="Z164" s="372">
        <v>0</v>
      </c>
      <c r="AA164" s="372">
        <v>0</v>
      </c>
      <c r="AB164" s="367">
        <v>0</v>
      </c>
      <c r="AC164" s="372" t="s">
        <v>287</v>
      </c>
      <c r="AD164" s="394">
        <f ca="1">Table2[[#This Row],[End Date]]+2-TODAY()</f>
        <v>-66</v>
      </c>
      <c r="AE164" s="372">
        <f>IF(ISBLANK(Table2[[#This Row],[Received by]]),1,0)</f>
        <v>0</v>
      </c>
      <c r="AF164" s="372">
        <f ca="1">IF(Table2[[#This Row],[Start Date]]&gt;TODAY(),1,)</f>
        <v>0</v>
      </c>
      <c r="AG164" s="372">
        <f>IF(ISBLANK(Table2[[#This Row],[Primary Instructor]]),0,1)</f>
        <v>1</v>
      </c>
      <c r="AH164" s="372">
        <f>IF(ISBLANK(Table2[[#This Row],[Instructor 2]]),0,1)</f>
        <v>0</v>
      </c>
      <c r="AI164" s="372">
        <f>Table2[[#This Row],[Course Length (Hours)]]/(SUM(Table2[[#This Row],[1]:[2]]))</f>
        <v>24</v>
      </c>
      <c r="AJ164" s="414">
        <v>13</v>
      </c>
      <c r="AK164" s="396">
        <v>2</v>
      </c>
    </row>
    <row r="165" spans="1:37" s="373" customFormat="1" x14ac:dyDescent="0.25">
      <c r="A165" s="389" t="s">
        <v>482</v>
      </c>
      <c r="B165" s="411" t="s">
        <v>31</v>
      </c>
      <c r="C165" s="367" t="str">
        <f>VLOOKUP(Table2[[#This Row],[Course Title]],'TSD-Data'!$A$1:$E$56,2,FALSE)</f>
        <v>A-493-0083</v>
      </c>
      <c r="D165" s="367" t="str">
        <f>VLOOKUP(Table2[[#This Row],[Course Title]],'TSD-Data'!$A$1:$E$56,3,FALSE)</f>
        <v>339E</v>
      </c>
      <c r="E165" s="399" t="s">
        <v>173</v>
      </c>
      <c r="F165" s="391">
        <v>45708</v>
      </c>
      <c r="G165" s="391">
        <v>45708</v>
      </c>
      <c r="H165" s="370">
        <v>0.33333333333333331</v>
      </c>
      <c r="I165" s="398"/>
      <c r="J165" s="398"/>
      <c r="K165" s="398"/>
      <c r="L165" s="398"/>
      <c r="M165" s="398"/>
      <c r="N165" s="398"/>
      <c r="O165" s="389" t="s">
        <v>280</v>
      </c>
      <c r="P165" s="389"/>
      <c r="Q165" s="365"/>
      <c r="R165" s="372">
        <f>VLOOKUP(Table2[[#This Row],[Course Title]],'TSD-Data'!$A$1:$E$56,4,FALSE)</f>
        <v>30</v>
      </c>
      <c r="S165" s="372">
        <f>VLOOKUP(Table2[[#This Row],[Course Title]],'TSD-Data'!$A$1:$F$53,6,FALSE)</f>
        <v>8</v>
      </c>
      <c r="T165" s="372">
        <f>VLOOKUP(Table2[[#This Row],[Course Title]],'TSD-Data'!$A$1:$E$56,5,FALSE)</f>
        <v>1</v>
      </c>
      <c r="U165" s="372">
        <v>62</v>
      </c>
      <c r="V165" s="372">
        <f>Table2[[#This Row],[Quotas]]-Table2[[#This Row],[Open Quotas]]</f>
        <v>4</v>
      </c>
      <c r="W165" s="372">
        <v>0</v>
      </c>
      <c r="X165" s="372">
        <v>2</v>
      </c>
      <c r="Y165" s="394">
        <v>0</v>
      </c>
      <c r="Z165" s="372">
        <v>2</v>
      </c>
      <c r="AA165" s="372">
        <v>0</v>
      </c>
      <c r="AB165" s="372">
        <v>0</v>
      </c>
      <c r="AC165" s="372" t="s">
        <v>287</v>
      </c>
      <c r="AD165" s="394">
        <f ca="1">Table2[[#This Row],[End Date]]+2-TODAY()</f>
        <v>-67</v>
      </c>
      <c r="AE165" s="372">
        <f>IF(ISBLANK(Table2[[#This Row],[Received by]]),1,0)</f>
        <v>0</v>
      </c>
      <c r="AF165" s="372">
        <f ca="1">IF(Table2[[#This Row],[Start Date]]&gt;TODAY(),1,)</f>
        <v>0</v>
      </c>
      <c r="AG165" s="372">
        <f>IF(ISBLANK(Table2[[#This Row],[Primary Instructor]]),0,1)</f>
        <v>1</v>
      </c>
      <c r="AH165" s="372">
        <f>IF(ISBLANK(Table2[[#This Row],[Instructor 2]]),0,1)</f>
        <v>0</v>
      </c>
      <c r="AI165" s="372">
        <f>Table2[[#This Row],[Course Length (Hours)]]/(SUM(Table2[[#This Row],[1]:[2]]))</f>
        <v>8</v>
      </c>
      <c r="AJ165" s="414">
        <v>26</v>
      </c>
      <c r="AK165" s="396">
        <v>2</v>
      </c>
    </row>
    <row r="166" spans="1:37" s="373" customFormat="1" x14ac:dyDescent="0.25">
      <c r="A166" s="389" t="s">
        <v>482</v>
      </c>
      <c r="B166" s="411" t="s">
        <v>31</v>
      </c>
      <c r="C166" s="367" t="str">
        <f>VLOOKUP(Table2[[#This Row],[Course Title]],'TSD-Data'!$A$1:$E$56,2,FALSE)</f>
        <v>A-493-0083</v>
      </c>
      <c r="D166" s="367" t="str">
        <f>VLOOKUP(Table2[[#This Row],[Course Title]],'TSD-Data'!$A$1:$E$56,3,FALSE)</f>
        <v>339E</v>
      </c>
      <c r="E166" s="399" t="s">
        <v>173</v>
      </c>
      <c r="F166" s="391">
        <v>45709</v>
      </c>
      <c r="G166" s="391">
        <v>45709</v>
      </c>
      <c r="H166" s="370">
        <v>0.33333333333333331</v>
      </c>
      <c r="I166" s="398"/>
      <c r="J166" s="398"/>
      <c r="K166" s="398"/>
      <c r="L166" s="398"/>
      <c r="M166" s="398"/>
      <c r="N166" s="398"/>
      <c r="O166" s="389" t="s">
        <v>280</v>
      </c>
      <c r="P166" s="389"/>
      <c r="Q166" s="365"/>
      <c r="R166" s="372">
        <f>VLOOKUP(Table2[[#This Row],[Course Title]],'TSD-Data'!$A$1:$E$56,4,FALSE)</f>
        <v>30</v>
      </c>
      <c r="S166" s="372">
        <f>VLOOKUP(Table2[[#This Row],[Course Title]],'TSD-Data'!$A$1:$F$53,6,FALSE)</f>
        <v>8</v>
      </c>
      <c r="T166" s="372">
        <f>VLOOKUP(Table2[[#This Row],[Course Title]],'TSD-Data'!$A$1:$E$56,5,FALSE)</f>
        <v>1</v>
      </c>
      <c r="U166" s="372">
        <v>62</v>
      </c>
      <c r="V166" s="372">
        <f>Table2[[#This Row],[Quotas]]-Table2[[#This Row],[Open Quotas]]</f>
        <v>2</v>
      </c>
      <c r="W166" s="372">
        <v>0</v>
      </c>
      <c r="X166" s="372">
        <v>2</v>
      </c>
      <c r="Y166" s="394">
        <v>0</v>
      </c>
      <c r="Z166" s="372">
        <v>0</v>
      </c>
      <c r="AA166" s="372">
        <v>0</v>
      </c>
      <c r="AB166" s="372">
        <v>0</v>
      </c>
      <c r="AC166" s="372" t="s">
        <v>287</v>
      </c>
      <c r="AD166" s="394">
        <f ca="1">Table2[[#This Row],[End Date]]+2-TODAY()</f>
        <v>-66</v>
      </c>
      <c r="AE166" s="372">
        <f>IF(ISBLANK(Table2[[#This Row],[Received by]]),1,0)</f>
        <v>0</v>
      </c>
      <c r="AF166" s="372">
        <f ca="1">IF(Table2[[#This Row],[Start Date]]&gt;TODAY(),1,)</f>
        <v>0</v>
      </c>
      <c r="AG166" s="372">
        <f>IF(ISBLANK(Table2[[#This Row],[Primary Instructor]]),0,1)</f>
        <v>1</v>
      </c>
      <c r="AH166" s="372">
        <f>IF(ISBLANK(Table2[[#This Row],[Instructor 2]]),0,1)</f>
        <v>0</v>
      </c>
      <c r="AI166" s="372">
        <f>Table2[[#This Row],[Course Length (Hours)]]/(SUM(Table2[[#This Row],[1]:[2]]))</f>
        <v>8</v>
      </c>
      <c r="AJ166" s="414">
        <v>28</v>
      </c>
      <c r="AK166" s="396">
        <v>2</v>
      </c>
    </row>
    <row r="167" spans="1:37" s="373" customFormat="1" x14ac:dyDescent="0.25">
      <c r="A167" s="389"/>
      <c r="B167" s="411" t="s">
        <v>120</v>
      </c>
      <c r="C167" s="367" t="str">
        <f>VLOOKUP(Table2[[#This Row],[Course Title]],'TSD-Data'!$A$1:$E$56,2,FALSE)</f>
        <v>A-322-2604</v>
      </c>
      <c r="D167" s="367" t="str">
        <f>VLOOKUP(Table2[[#This Row],[Course Title]],'TSD-Data'!$A$1:$E$56,3,FALSE)</f>
        <v>10ZZ</v>
      </c>
      <c r="E167" s="390" t="s">
        <v>86</v>
      </c>
      <c r="F167" s="391">
        <v>45711</v>
      </c>
      <c r="G167" s="391">
        <v>45713</v>
      </c>
      <c r="H167" s="397"/>
      <c r="I167" s="381">
        <v>0.79166666666666663</v>
      </c>
      <c r="J167" s="381">
        <v>0.66666666666666663</v>
      </c>
      <c r="K167" s="381">
        <v>0.125</v>
      </c>
      <c r="L167" s="381">
        <v>4.1666666666666664E-2</v>
      </c>
      <c r="M167" s="381">
        <v>0.58333333333333337</v>
      </c>
      <c r="N167" s="381">
        <v>0.375</v>
      </c>
      <c r="O167" s="389" t="s">
        <v>288</v>
      </c>
      <c r="P167" s="389"/>
      <c r="Q167" s="365"/>
      <c r="R167" s="372">
        <f>VLOOKUP(Table2[[#This Row],[Course Title]],'TSD-Data'!$A$1:$E$56,4,FALSE)</f>
        <v>45</v>
      </c>
      <c r="S167" s="372">
        <f>VLOOKUP(Table2[[#This Row],[Course Title]],'TSD-Data'!$A$1:$F$53,6,FALSE)</f>
        <v>24</v>
      </c>
      <c r="T167" s="372">
        <f>VLOOKUP(Table2[[#This Row],[Course Title]],'TSD-Data'!$A$1:$E$56,5,FALSE)</f>
        <v>3</v>
      </c>
      <c r="U167" s="372">
        <v>105</v>
      </c>
      <c r="V167" s="372">
        <f>Table2[[#This Row],[Quotas]]-Table2[[#This Row],[Open Quotas]]</f>
        <v>45</v>
      </c>
      <c r="W167" s="372">
        <v>3</v>
      </c>
      <c r="X167" s="372">
        <v>32</v>
      </c>
      <c r="Y167" s="394">
        <v>2</v>
      </c>
      <c r="Z167" s="372">
        <v>11</v>
      </c>
      <c r="AA167" s="372">
        <v>0</v>
      </c>
      <c r="AB167" s="367">
        <v>0</v>
      </c>
      <c r="AC167" s="372" t="s">
        <v>281</v>
      </c>
      <c r="AD167" s="394">
        <f ca="1">Table2[[#This Row],[End Date]]+2-TODAY()</f>
        <v>-62</v>
      </c>
      <c r="AE167" s="372">
        <f>IF(ISBLANK(Table2[[#This Row],[Received by]]),1,0)</f>
        <v>0</v>
      </c>
      <c r="AF167" s="372">
        <f ca="1">IF(Table2[[#This Row],[Start Date]]&gt;TODAY(),1,)</f>
        <v>0</v>
      </c>
      <c r="AG167" s="372">
        <f>IF(ISBLANK(Table2[[#This Row],[Primary Instructor]]),0,1)</f>
        <v>1</v>
      </c>
      <c r="AH167" s="372">
        <f>IF(ISBLANK(Table2[[#This Row],[Instructor 2]]),0,1)</f>
        <v>0</v>
      </c>
      <c r="AI167" s="372">
        <f>Table2[[#This Row],[Course Length (Hours)]]/(SUM(Table2[[#This Row],[1]:[2]]))</f>
        <v>24</v>
      </c>
      <c r="AJ167" s="372">
        <v>0</v>
      </c>
      <c r="AK167" s="396">
        <v>2</v>
      </c>
    </row>
    <row r="168" spans="1:37" s="373" customFormat="1" x14ac:dyDescent="0.25">
      <c r="A168" s="425"/>
      <c r="B168" s="411" t="s">
        <v>55</v>
      </c>
      <c r="C168" s="367" t="str">
        <f>VLOOKUP(Table2[[#This Row],[Course Title]],'TSD-Data'!$A$1:$E$56,2,FALSE)</f>
        <v>A-493-0103</v>
      </c>
      <c r="D168" s="367" t="str">
        <f>VLOOKUP(Table2[[#This Row],[Course Title]],'TSD-Data'!$A$1:$E$56,3,FALSE)</f>
        <v>12JY</v>
      </c>
      <c r="E168" s="365" t="s">
        <v>220</v>
      </c>
      <c r="F168" s="391">
        <v>45712</v>
      </c>
      <c r="G168" s="391">
        <v>45716</v>
      </c>
      <c r="H168" s="370">
        <v>0.33333333333333331</v>
      </c>
      <c r="I168" s="392"/>
      <c r="J168" s="412"/>
      <c r="K168" s="392"/>
      <c r="L168" s="392"/>
      <c r="M168" s="392"/>
      <c r="N168" s="392"/>
      <c r="O168" s="389" t="s">
        <v>314</v>
      </c>
      <c r="P168" s="389"/>
      <c r="Q168" s="365"/>
      <c r="R168" s="372">
        <f>VLOOKUP(Table2[[#This Row],[Course Title]],'TSD-Data'!$A$1:$E$56,4,FALSE)</f>
        <v>25</v>
      </c>
      <c r="S168" s="372">
        <f>VLOOKUP(Table2[[#This Row],[Course Title]],'TSD-Data'!$A$1:$F$53,6,FALSE)</f>
        <v>40</v>
      </c>
      <c r="T168" s="372">
        <f>VLOOKUP(Table2[[#This Row],[Course Title]],'TSD-Data'!$A$1:$E$56,5,FALSE)</f>
        <v>5</v>
      </c>
      <c r="U168" s="372">
        <v>65</v>
      </c>
      <c r="V168" s="372">
        <f>Table2[[#This Row],[Quotas]]-Table2[[#This Row],[Open Quotas]]</f>
        <v>20</v>
      </c>
      <c r="W168" s="372">
        <v>0</v>
      </c>
      <c r="X168" s="372">
        <v>22</v>
      </c>
      <c r="Y168" s="394">
        <v>0</v>
      </c>
      <c r="Z168" s="372">
        <v>7</v>
      </c>
      <c r="AA168" s="372">
        <v>0</v>
      </c>
      <c r="AB168" s="372">
        <v>0</v>
      </c>
      <c r="AC168" s="372" t="s">
        <v>291</v>
      </c>
      <c r="AD168" s="394">
        <f ca="1">Table2[[#This Row],[End Date]]+2-TODAY()</f>
        <v>-59</v>
      </c>
      <c r="AE168" s="372">
        <f>IF(ISBLANK(Table2[[#This Row],[Received by]]),1,0)</f>
        <v>0</v>
      </c>
      <c r="AF168" s="372">
        <f ca="1">IF(Table2[[#This Row],[Start Date]]&gt;TODAY(),1,)</f>
        <v>0</v>
      </c>
      <c r="AG168" s="372">
        <f>IF(ISBLANK(Table2[[#This Row],[Primary Instructor]]),0,1)</f>
        <v>1</v>
      </c>
      <c r="AH168" s="372">
        <f>IF(ISBLANK(Table2[[#This Row],[Instructor 2]]),0,1)</f>
        <v>0</v>
      </c>
      <c r="AI168" s="372">
        <f>Table2[[#This Row],[Course Length (Hours)]]/(SUM(Table2[[#This Row],[1]:[2]]))</f>
        <v>40</v>
      </c>
      <c r="AJ168" s="372">
        <v>5</v>
      </c>
      <c r="AK168" s="396">
        <v>2</v>
      </c>
    </row>
    <row r="169" spans="1:37" s="373" customFormat="1" x14ac:dyDescent="0.25">
      <c r="A169" s="365"/>
      <c r="B169" s="411" t="s">
        <v>55</v>
      </c>
      <c r="C169" s="367" t="str">
        <f>VLOOKUP(Table2[[#This Row],[Course Title]],'TSD-Data'!$A$1:$E$56,2,FALSE)</f>
        <v>A-493-0103</v>
      </c>
      <c r="D169" s="367" t="str">
        <f>VLOOKUP(Table2[[#This Row],[Course Title]],'TSD-Data'!$A$1:$E$56,3,FALSE)</f>
        <v>12JY</v>
      </c>
      <c r="E169" s="390" t="s">
        <v>198</v>
      </c>
      <c r="F169" s="391">
        <v>45712</v>
      </c>
      <c r="G169" s="391">
        <v>45716</v>
      </c>
      <c r="H169" s="370">
        <v>0.33333333333333331</v>
      </c>
      <c r="I169" s="370"/>
      <c r="J169" s="404"/>
      <c r="K169" s="398"/>
      <c r="L169" s="398"/>
      <c r="M169" s="398"/>
      <c r="N169" s="398"/>
      <c r="O169" s="389" t="s">
        <v>314</v>
      </c>
      <c r="P169" s="389"/>
      <c r="Q169" s="365"/>
      <c r="R169" s="372">
        <f>VLOOKUP(Table2[[#This Row],[Course Title]],'TSD-Data'!$A$1:$E$56,4,FALSE)</f>
        <v>25</v>
      </c>
      <c r="S169" s="372">
        <f>VLOOKUP(Table2[[#This Row],[Course Title]],'TSD-Data'!$A$1:$F$53,6,FALSE)</f>
        <v>40</v>
      </c>
      <c r="T169" s="372">
        <f>VLOOKUP(Table2[[#This Row],[Course Title]],'TSD-Data'!$A$1:$E$56,5,FALSE)</f>
        <v>5</v>
      </c>
      <c r="U169" s="372">
        <v>332</v>
      </c>
      <c r="V169" s="372">
        <f>Table2[[#This Row],[Quotas]]-Table2[[#This Row],[Open Quotas]]</f>
        <v>24</v>
      </c>
      <c r="W169" s="372">
        <v>2</v>
      </c>
      <c r="X169" s="372">
        <v>22</v>
      </c>
      <c r="Y169" s="394">
        <v>0</v>
      </c>
      <c r="Z169" s="372">
        <v>5</v>
      </c>
      <c r="AA169" s="372">
        <v>0</v>
      </c>
      <c r="AB169" s="372">
        <v>0</v>
      </c>
      <c r="AC169" s="372" t="s">
        <v>291</v>
      </c>
      <c r="AD169" s="394">
        <f ca="1">Table2[[#This Row],[End Date]]+2-TODAY()</f>
        <v>-59</v>
      </c>
      <c r="AE169" s="372">
        <f>IF(ISBLANK(Table2[[#This Row],[Received by]]),1,0)</f>
        <v>0</v>
      </c>
      <c r="AF169" s="372">
        <f ca="1">IF(Table2[[#This Row],[Start Date]]&gt;TODAY(),1,)</f>
        <v>0</v>
      </c>
      <c r="AG169" s="372">
        <f>IF(ISBLANK(Table2[[#This Row],[Primary Instructor]]),0,1)</f>
        <v>1</v>
      </c>
      <c r="AH169" s="372">
        <f>IF(ISBLANK(Table2[[#This Row],[Instructor 2]]),0,1)</f>
        <v>0</v>
      </c>
      <c r="AI169" s="372">
        <f>Table2[[#This Row],[Course Length (Hours)]]/(SUM(Table2[[#This Row],[1]:[2]]))</f>
        <v>40</v>
      </c>
      <c r="AJ169" s="372">
        <v>1</v>
      </c>
      <c r="AK169" s="396">
        <v>2</v>
      </c>
    </row>
    <row r="170" spans="1:37" s="373" customFormat="1" x14ac:dyDescent="0.25">
      <c r="A170" s="389" t="s">
        <v>482</v>
      </c>
      <c r="B170" s="411" t="s">
        <v>17</v>
      </c>
      <c r="C170" s="367" t="str">
        <f>VLOOKUP(Table2[[#This Row],[Course Title]],'TSD-Data'!$A$1:$E$56,2,FALSE)</f>
        <v>A-493-0012</v>
      </c>
      <c r="D170" s="367">
        <f>VLOOKUP(Table2[[#This Row],[Course Title]],'TSD-Data'!$A$1:$E$56,3,FALSE)</f>
        <v>3682</v>
      </c>
      <c r="E170" s="365" t="s">
        <v>173</v>
      </c>
      <c r="F170" s="368">
        <v>45712</v>
      </c>
      <c r="G170" s="368">
        <v>45716</v>
      </c>
      <c r="H170" s="370">
        <v>0.33333333333333331</v>
      </c>
      <c r="I170" s="398"/>
      <c r="J170" s="398"/>
      <c r="K170" s="398"/>
      <c r="L170" s="398"/>
      <c r="M170" s="398"/>
      <c r="N170" s="398"/>
      <c r="O170" s="389" t="s">
        <v>283</v>
      </c>
      <c r="P170" s="389"/>
      <c r="Q170" s="365"/>
      <c r="R170" s="372">
        <f>VLOOKUP(Table2[[#This Row],[Course Title]],'TSD-Data'!$A$1:$E$56,4,FALSE)</f>
        <v>40</v>
      </c>
      <c r="S170" s="372">
        <f>VLOOKUP(Table2[[#This Row],[Course Title]],'TSD-Data'!$A$1:$F$53,6,FALSE)</f>
        <v>40</v>
      </c>
      <c r="T170" s="372">
        <f>VLOOKUP(Table2[[#This Row],[Course Title]],'TSD-Data'!$A$1:$E$56,5,FALSE)</f>
        <v>5</v>
      </c>
      <c r="U170" s="372">
        <v>30</v>
      </c>
      <c r="V170" s="372">
        <f>Table2[[#This Row],[Quotas]]-Table2[[#This Row],[Open Quotas]]</f>
        <v>7</v>
      </c>
      <c r="W170" s="372">
        <v>0</v>
      </c>
      <c r="X170" s="372">
        <v>6</v>
      </c>
      <c r="Y170" s="394">
        <v>0</v>
      </c>
      <c r="Z170" s="372">
        <v>2</v>
      </c>
      <c r="AA170" s="372">
        <v>0</v>
      </c>
      <c r="AB170" s="367">
        <v>0</v>
      </c>
      <c r="AC170" s="372" t="s">
        <v>287</v>
      </c>
      <c r="AD170" s="394">
        <f ca="1">Table2[[#This Row],[End Date]]+2-TODAY()</f>
        <v>-59</v>
      </c>
      <c r="AE170" s="372">
        <f>IF(ISBLANK(Table2[[#This Row],[Received by]]),1,0)</f>
        <v>0</v>
      </c>
      <c r="AF170" s="372">
        <f ca="1">IF(Table2[[#This Row],[Start Date]]&gt;TODAY(),1,)</f>
        <v>0</v>
      </c>
      <c r="AG170" s="372">
        <f>IF(ISBLANK(Table2[[#This Row],[Primary Instructor]]),0,1)</f>
        <v>1</v>
      </c>
      <c r="AH170" s="372">
        <f>IF(ISBLANK(Table2[[#This Row],[Instructor 2]]),0,1)</f>
        <v>0</v>
      </c>
      <c r="AI170" s="372">
        <f>Table2[[#This Row],[Course Length (Hours)]]/(SUM(Table2[[#This Row],[1]:[2]]))</f>
        <v>40</v>
      </c>
      <c r="AJ170" s="414">
        <v>33</v>
      </c>
      <c r="AK170" s="396">
        <v>2</v>
      </c>
    </row>
    <row r="171" spans="1:37" s="373" customFormat="1" x14ac:dyDescent="0.25">
      <c r="A171" s="389" t="s">
        <v>482</v>
      </c>
      <c r="B171" s="411" t="s">
        <v>29</v>
      </c>
      <c r="C171" s="367" t="str">
        <f>VLOOKUP(Table2[[#This Row],[Course Title]],'TSD-Data'!$A$1:$E$56,2,FALSE)</f>
        <v>A-493-0077</v>
      </c>
      <c r="D171" s="367" t="str">
        <f>VLOOKUP(Table2[[#This Row],[Course Title]],'TSD-Data'!$A$1:$E$56,3,FALSE)</f>
        <v>0381</v>
      </c>
      <c r="E171" s="399" t="s">
        <v>173</v>
      </c>
      <c r="F171" s="391">
        <v>45712</v>
      </c>
      <c r="G171" s="391">
        <v>45714</v>
      </c>
      <c r="H171" s="370">
        <v>0.33333333333333331</v>
      </c>
      <c r="I171" s="398"/>
      <c r="J171" s="398"/>
      <c r="K171" s="398"/>
      <c r="L171" s="398"/>
      <c r="M171" s="398"/>
      <c r="N171" s="398"/>
      <c r="O171" s="389" t="s">
        <v>280</v>
      </c>
      <c r="P171" s="389"/>
      <c r="Q171" s="365"/>
      <c r="R171" s="372">
        <f>VLOOKUP(Table2[[#This Row],[Course Title]],'TSD-Data'!$A$1:$E$56,4,FALSE)</f>
        <v>25</v>
      </c>
      <c r="S171" s="372">
        <f>VLOOKUP(Table2[[#This Row],[Course Title]],'TSD-Data'!$A$1:$F$53,6,FALSE)</f>
        <v>24</v>
      </c>
      <c r="T171" s="372">
        <f>VLOOKUP(Table2[[#This Row],[Course Title]],'TSD-Data'!$A$1:$E$56,5,FALSE)</f>
        <v>3</v>
      </c>
      <c r="U171" s="372">
        <v>32</v>
      </c>
      <c r="V171" s="372">
        <f>Table2[[#This Row],[Quotas]]-Table2[[#This Row],[Open Quotas]]</f>
        <v>5</v>
      </c>
      <c r="W171" s="372">
        <v>0</v>
      </c>
      <c r="X171" s="372">
        <v>5</v>
      </c>
      <c r="Y171" s="394">
        <v>0</v>
      </c>
      <c r="Z171" s="372">
        <v>0</v>
      </c>
      <c r="AA171" s="372">
        <v>0</v>
      </c>
      <c r="AB171" s="372">
        <v>0</v>
      </c>
      <c r="AC171" s="372" t="s">
        <v>287</v>
      </c>
      <c r="AD171" s="394">
        <f ca="1">Table2[[#This Row],[End Date]]+2-TODAY()</f>
        <v>-61</v>
      </c>
      <c r="AE171" s="372">
        <f>IF(ISBLANK(Table2[[#This Row],[Received by]]),1,0)</f>
        <v>0</v>
      </c>
      <c r="AF171" s="372">
        <f ca="1">IF(Table2[[#This Row],[Start Date]]&gt;TODAY(),1,)</f>
        <v>0</v>
      </c>
      <c r="AG171" s="372">
        <f>IF(ISBLANK(Table2[[#This Row],[Primary Instructor]]),0,1)</f>
        <v>1</v>
      </c>
      <c r="AH171" s="372">
        <f>IF(ISBLANK(Table2[[#This Row],[Instructor 2]]),0,1)</f>
        <v>0</v>
      </c>
      <c r="AI171" s="372">
        <f>Table2[[#This Row],[Course Length (Hours)]]/(SUM(Table2[[#This Row],[1]:[2]]))</f>
        <v>24</v>
      </c>
      <c r="AJ171" s="414">
        <v>20</v>
      </c>
      <c r="AK171" s="396">
        <v>2</v>
      </c>
    </row>
    <row r="172" spans="1:37" s="408" customFormat="1" x14ac:dyDescent="0.25">
      <c r="A172" s="389" t="s">
        <v>6</v>
      </c>
      <c r="B172" s="411" t="s">
        <v>32</v>
      </c>
      <c r="C172" s="367" t="str">
        <f>VLOOKUP(Table2[[#This Row],[Course Title]],'TSD-Data'!$A$1:$E$56,2,FALSE)</f>
        <v>A-493-2300</v>
      </c>
      <c r="D172" s="367" t="str">
        <f>VLOOKUP(Table2[[#This Row],[Course Title]],'TSD-Data'!$A$1:$E$56,3,FALSE)</f>
        <v>993F</v>
      </c>
      <c r="E172" s="390" t="s">
        <v>86</v>
      </c>
      <c r="F172" s="391">
        <v>45712</v>
      </c>
      <c r="G172" s="391">
        <v>45713</v>
      </c>
      <c r="H172" s="370">
        <v>0.33333333333333331</v>
      </c>
      <c r="I172" s="398"/>
      <c r="J172" s="398"/>
      <c r="K172" s="398"/>
      <c r="L172" s="398"/>
      <c r="M172" s="398"/>
      <c r="N172" s="398"/>
      <c r="O172" s="389" t="s">
        <v>280</v>
      </c>
      <c r="P172" s="389"/>
      <c r="Q172" s="365"/>
      <c r="R172" s="372">
        <f>VLOOKUP(Table2[[#This Row],[Course Title]],'TSD-Data'!$A$1:$E$56,4,FALSE)</f>
        <v>30</v>
      </c>
      <c r="S172" s="372">
        <f>VLOOKUP(Table2[[#This Row],[Course Title]],'TSD-Data'!$A$1:$F$53,6,FALSE)</f>
        <v>16</v>
      </c>
      <c r="T172" s="372">
        <f>VLOOKUP(Table2[[#This Row],[Course Title]],'TSD-Data'!$A$1:$E$56,5,FALSE)</f>
        <v>2</v>
      </c>
      <c r="U172" s="372">
        <v>30</v>
      </c>
      <c r="V172" s="372">
        <f>Table2[[#This Row],[Quotas]]-Table2[[#This Row],[Open Quotas]]</f>
        <v>3</v>
      </c>
      <c r="W172" s="372">
        <v>0</v>
      </c>
      <c r="X172" s="372">
        <v>4</v>
      </c>
      <c r="Y172" s="394">
        <v>0</v>
      </c>
      <c r="Z172" s="372">
        <v>2</v>
      </c>
      <c r="AA172" s="372">
        <v>1</v>
      </c>
      <c r="AB172" s="372">
        <v>4</v>
      </c>
      <c r="AC172" s="372" t="s">
        <v>287</v>
      </c>
      <c r="AD172" s="394">
        <f ca="1">Table2[[#This Row],[End Date]]+2-TODAY()</f>
        <v>-62</v>
      </c>
      <c r="AE172" s="372">
        <f>IF(ISBLANK(Table2[[#This Row],[Received by]]),1,0)</f>
        <v>0</v>
      </c>
      <c r="AF172" s="372">
        <f ca="1">IF(Table2[[#This Row],[Start Date]]&gt;TODAY(),1,)</f>
        <v>0</v>
      </c>
      <c r="AG172" s="372">
        <f>IF(ISBLANK(Table2[[#This Row],[Primary Instructor]]),0,1)</f>
        <v>1</v>
      </c>
      <c r="AH172" s="372">
        <f>IF(ISBLANK(Table2[[#This Row],[Instructor 2]]),0,1)</f>
        <v>0</v>
      </c>
      <c r="AI172" s="372">
        <f>Table2[[#This Row],[Course Length (Hours)]]/(SUM(Table2[[#This Row],[1]:[2]]))</f>
        <v>16</v>
      </c>
      <c r="AJ172" s="372">
        <v>27</v>
      </c>
      <c r="AK172" s="396">
        <v>2</v>
      </c>
    </row>
    <row r="173" spans="1:37" s="373" customFormat="1" x14ac:dyDescent="0.25">
      <c r="A173" s="389"/>
      <c r="B173" s="411" t="s">
        <v>51</v>
      </c>
      <c r="C173" s="367" t="str">
        <f>VLOOKUP(Table2[[#This Row],[Course Title]],'TSD-Data'!$A$1:$E$56,2,FALSE)</f>
        <v>A-493-0335</v>
      </c>
      <c r="D173" s="367" t="str">
        <f>VLOOKUP(Table2[[#This Row],[Course Title]],'TSD-Data'!$A$1:$E$56,3,FALSE)</f>
        <v>09ND</v>
      </c>
      <c r="E173" s="390" t="s">
        <v>86</v>
      </c>
      <c r="F173" s="397">
        <v>45712</v>
      </c>
      <c r="G173" s="397">
        <v>45715</v>
      </c>
      <c r="H173" s="370"/>
      <c r="I173" s="381">
        <v>0.5</v>
      </c>
      <c r="J173" s="421">
        <v>0.375</v>
      </c>
      <c r="K173" s="421">
        <v>0.83333333333333337</v>
      </c>
      <c r="L173" s="421">
        <v>0.75</v>
      </c>
      <c r="M173" s="421">
        <v>0.29166666666666669</v>
      </c>
      <c r="N173" s="421">
        <v>8.3333333333333329E-2</v>
      </c>
      <c r="O173" s="389" t="s">
        <v>315</v>
      </c>
      <c r="P173" s="389"/>
      <c r="Q173" s="365"/>
      <c r="R173" s="372">
        <f>VLOOKUP(Table2[[#This Row],[Course Title]],'TSD-Data'!$A$1:$E$56,4,FALSE)</f>
        <v>45</v>
      </c>
      <c r="S173" s="372">
        <f>VLOOKUP(Table2[[#This Row],[Course Title]],'TSD-Data'!$A$1:$F$53,6,FALSE)</f>
        <v>32</v>
      </c>
      <c r="T173" s="372">
        <f>VLOOKUP(Table2[[#This Row],[Course Title]],'TSD-Data'!$A$1:$E$56,5,FALSE)</f>
        <v>4</v>
      </c>
      <c r="U173" s="372">
        <v>400</v>
      </c>
      <c r="V173" s="372">
        <f>Table2[[#This Row],[Quotas]]-Table2[[#This Row],[Open Quotas]]</f>
        <v>28</v>
      </c>
      <c r="W173" s="372">
        <v>0</v>
      </c>
      <c r="X173" s="372">
        <v>22</v>
      </c>
      <c r="Y173" s="394">
        <v>0</v>
      </c>
      <c r="Z173" s="372">
        <v>6</v>
      </c>
      <c r="AA173" s="372">
        <v>1</v>
      </c>
      <c r="AB173" s="372">
        <v>0</v>
      </c>
      <c r="AC173" s="372" t="s">
        <v>281</v>
      </c>
      <c r="AD173" s="394">
        <f ca="1">Table2[[#This Row],[End Date]]+2-TODAY()</f>
        <v>-60</v>
      </c>
      <c r="AE173" s="372">
        <f>IF(ISBLANK(Table2[[#This Row],[Received by]]),1,0)</f>
        <v>0</v>
      </c>
      <c r="AF173" s="372">
        <f ca="1">IF(Table2[[#This Row],[Start Date]]&gt;TODAY(),1,)</f>
        <v>0</v>
      </c>
      <c r="AG173" s="372">
        <f>IF(ISBLANK(Table2[[#This Row],[Primary Instructor]]),0,1)</f>
        <v>1</v>
      </c>
      <c r="AH173" s="372">
        <f>IF(ISBLANK(Table2[[#This Row],[Instructor 2]]),0,1)</f>
        <v>0</v>
      </c>
      <c r="AI173" s="372">
        <f>Table2[[#This Row],[Course Length (Hours)]]/(SUM(Table2[[#This Row],[1]:[2]]))</f>
        <v>32</v>
      </c>
      <c r="AJ173" s="372">
        <v>17</v>
      </c>
      <c r="AK173" s="396">
        <v>2</v>
      </c>
    </row>
    <row r="174" spans="1:37" s="373" customFormat="1" x14ac:dyDescent="0.25">
      <c r="A174" s="389"/>
      <c r="B174" s="411" t="s">
        <v>59</v>
      </c>
      <c r="C174" s="367" t="str">
        <f>VLOOKUP(Table2[[#This Row],[Course Title]],'TSD-Data'!$A$1:$E$56,2,FALSE)</f>
        <v>A-493-0550</v>
      </c>
      <c r="D174" s="367" t="str">
        <f>VLOOKUP(Table2[[#This Row],[Course Title]],'TSD-Data'!$A$1:$E$56,3,FALSE)</f>
        <v>09K5</v>
      </c>
      <c r="E174" s="390" t="s">
        <v>86</v>
      </c>
      <c r="F174" s="397">
        <v>45712</v>
      </c>
      <c r="G174" s="397">
        <v>45715</v>
      </c>
      <c r="H174" s="397"/>
      <c r="I174" s="370">
        <v>0.45833333333333331</v>
      </c>
      <c r="J174" s="370">
        <v>0.33333333333333331</v>
      </c>
      <c r="K174" s="370">
        <v>0.79166666666666663</v>
      </c>
      <c r="L174" s="370">
        <v>0.70833333333333337</v>
      </c>
      <c r="M174" s="370">
        <v>0.25</v>
      </c>
      <c r="N174" s="370">
        <v>4.1666666666666664E-2</v>
      </c>
      <c r="O174" s="389" t="s">
        <v>305</v>
      </c>
      <c r="P174" s="389"/>
      <c r="Q174" s="365"/>
      <c r="R174" s="372">
        <f>VLOOKUP(Table2[[#This Row],[Course Title]],'TSD-Data'!$A$1:$E$56,4,FALSE)</f>
        <v>45</v>
      </c>
      <c r="S174" s="372">
        <f>VLOOKUP(Table2[[#This Row],[Course Title]],'TSD-Data'!$A$1:$F$53,6,FALSE)</f>
        <v>32</v>
      </c>
      <c r="T174" s="372">
        <f>VLOOKUP(Table2[[#This Row],[Course Title]],'TSD-Data'!$A$1:$E$56,5,FALSE)</f>
        <v>4</v>
      </c>
      <c r="U174" s="372">
        <v>949</v>
      </c>
      <c r="V174" s="372">
        <f>Table2[[#This Row],[Quotas]]-Table2[[#This Row],[Open Quotas]]</f>
        <v>41</v>
      </c>
      <c r="W174" s="372">
        <v>1</v>
      </c>
      <c r="X174" s="372">
        <v>41</v>
      </c>
      <c r="Y174" s="394">
        <v>0</v>
      </c>
      <c r="Z174" s="372">
        <v>6</v>
      </c>
      <c r="AA174" s="372">
        <v>1</v>
      </c>
      <c r="AB174" s="372">
        <v>0</v>
      </c>
      <c r="AC174" s="372" t="s">
        <v>291</v>
      </c>
      <c r="AD174" s="394">
        <f ca="1">Table2[[#This Row],[End Date]]+2-TODAY()</f>
        <v>-60</v>
      </c>
      <c r="AE174" s="372">
        <f>IF(ISBLANK(Table2[[#This Row],[Received by]]),1,0)</f>
        <v>0</v>
      </c>
      <c r="AF174" s="372">
        <f ca="1">IF(Table2[[#This Row],[Start Date]]&gt;TODAY(),1,)</f>
        <v>0</v>
      </c>
      <c r="AG174" s="372">
        <f>IF(ISBLANK(Table2[[#This Row],[Primary Instructor]]),0,1)</f>
        <v>1</v>
      </c>
      <c r="AH174" s="372">
        <f>IF(ISBLANK(Table2[[#This Row],[Instructor 2]]),0,1)</f>
        <v>0</v>
      </c>
      <c r="AI174" s="372">
        <f>Table2[[#This Row],[Course Length (Hours)]]/(SUM(Table2[[#This Row],[1]:[2]]))</f>
        <v>32</v>
      </c>
      <c r="AJ174" s="372">
        <v>4</v>
      </c>
      <c r="AK174" s="396">
        <v>2</v>
      </c>
    </row>
    <row r="175" spans="1:37" s="373" customFormat="1" x14ac:dyDescent="0.25">
      <c r="A175" s="390"/>
      <c r="B175" s="411" t="s">
        <v>61</v>
      </c>
      <c r="C175" s="367" t="str">
        <f>VLOOKUP(Table2[[#This Row],[Course Title]],'TSD-Data'!$A$1:$E$56,2,FALSE)</f>
        <v>A-493-0078</v>
      </c>
      <c r="D175" s="367">
        <f>VLOOKUP(Table2[[#This Row],[Course Title]],'TSD-Data'!$A$1:$E$56,3,FALSE)</f>
        <v>1228</v>
      </c>
      <c r="E175" s="390" t="s">
        <v>86</v>
      </c>
      <c r="F175" s="397">
        <v>45712</v>
      </c>
      <c r="G175" s="397">
        <v>45715</v>
      </c>
      <c r="H175" s="370"/>
      <c r="I175" s="370">
        <v>0.79166666666666663</v>
      </c>
      <c r="J175" s="381">
        <v>0.66666666666666663</v>
      </c>
      <c r="K175" s="381">
        <v>0.125</v>
      </c>
      <c r="L175" s="381">
        <v>4.1666666666666664E-2</v>
      </c>
      <c r="M175" s="381">
        <v>0.58333333333333337</v>
      </c>
      <c r="N175" s="381">
        <v>0.375</v>
      </c>
      <c r="O175" s="389" t="s">
        <v>304</v>
      </c>
      <c r="P175" s="389"/>
      <c r="Q175" s="365"/>
      <c r="R175" s="372">
        <f>VLOOKUP(Table2[[#This Row],[Course Title]],'TSD-Data'!$A$1:$E$56,4,FALSE)</f>
        <v>45</v>
      </c>
      <c r="S175" s="372">
        <f>VLOOKUP(Table2[[#This Row],[Course Title]],'TSD-Data'!$A$1:$F$53,6,FALSE)</f>
        <v>32</v>
      </c>
      <c r="T175" s="372">
        <f>VLOOKUP(Table2[[#This Row],[Course Title]],'TSD-Data'!$A$1:$E$56,5,FALSE)</f>
        <v>4</v>
      </c>
      <c r="U175" s="372">
        <v>249</v>
      </c>
      <c r="V175" s="372">
        <f>Table2[[#This Row],[Quotas]]-Table2[[#This Row],[Open Quotas]]</f>
        <v>38</v>
      </c>
      <c r="W175" s="372">
        <v>0</v>
      </c>
      <c r="X175" s="372">
        <v>34</v>
      </c>
      <c r="Y175" s="394">
        <v>0</v>
      </c>
      <c r="Z175" s="372">
        <v>10</v>
      </c>
      <c r="AA175" s="372">
        <v>0</v>
      </c>
      <c r="AB175" s="372">
        <v>0</v>
      </c>
      <c r="AC175" s="372" t="s">
        <v>291</v>
      </c>
      <c r="AD175" s="394">
        <f ca="1">Table2[[#This Row],[End Date]]+2-TODAY()</f>
        <v>-60</v>
      </c>
      <c r="AE175" s="372">
        <f>IF(ISBLANK(Table2[[#This Row],[Received by]]),1,0)</f>
        <v>0</v>
      </c>
      <c r="AF175" s="372">
        <f ca="1">IF(Table2[[#This Row],[Start Date]]&gt;TODAY(),1,)</f>
        <v>0</v>
      </c>
      <c r="AG175" s="372">
        <f>IF(ISBLANK(Table2[[#This Row],[Primary Instructor]]),0,1)</f>
        <v>1</v>
      </c>
      <c r="AH175" s="372">
        <f>IF(ISBLANK(Table2[[#This Row],[Instructor 2]]),0,1)</f>
        <v>0</v>
      </c>
      <c r="AI175" s="372">
        <f>Table2[[#This Row],[Course Length (Hours)]]/(SUM(Table2[[#This Row],[1]:[2]]))</f>
        <v>32</v>
      </c>
      <c r="AJ175" s="367">
        <v>7</v>
      </c>
      <c r="AK175" s="396">
        <v>2</v>
      </c>
    </row>
    <row r="176" spans="1:37" s="408" customFormat="1" x14ac:dyDescent="0.25">
      <c r="A176" s="401"/>
      <c r="B176" s="411" t="s">
        <v>52</v>
      </c>
      <c r="C176" s="374" t="str">
        <f>VLOOKUP(Table2[[#This Row],[Course Title]],'TSD-Data'!$A$1:$E$56,2,FALSE)</f>
        <v>A-493-0085</v>
      </c>
      <c r="D176" s="374">
        <f>VLOOKUP(Table2[[#This Row],[Course Title]],'TSD-Data'!$A$1:$E$56,3,FALSE)</f>
        <v>3555</v>
      </c>
      <c r="E176" s="399" t="s">
        <v>86</v>
      </c>
      <c r="F176" s="391">
        <v>45712</v>
      </c>
      <c r="G176" s="391">
        <v>45715</v>
      </c>
      <c r="H176" s="391"/>
      <c r="I176" s="380">
        <v>1900.7916666666667</v>
      </c>
      <c r="J176" s="380">
        <v>0.66666666666666663</v>
      </c>
      <c r="K176" s="380">
        <v>8.3333333333333329E-2</v>
      </c>
      <c r="L176" s="380">
        <v>0</v>
      </c>
      <c r="M176" s="380">
        <v>0.54166666666666663</v>
      </c>
      <c r="N176" s="380">
        <v>0.33333333333333331</v>
      </c>
      <c r="O176" s="401" t="s">
        <v>316</v>
      </c>
      <c r="P176" s="401"/>
      <c r="Q176" s="365"/>
      <c r="R176" s="378">
        <f>VLOOKUP(Table2[[#This Row],[Course Title]],'TSD-Data'!$A$1:$E$56,4,FALSE)</f>
        <v>45</v>
      </c>
      <c r="S176" s="378">
        <f>VLOOKUP(Table2[[#This Row],[Course Title]],'TSD-Data'!$A$1:$F$53,6,FALSE)</f>
        <v>32</v>
      </c>
      <c r="T176" s="378">
        <f>VLOOKUP(Table2[[#This Row],[Course Title]],'TSD-Data'!$A$1:$E$56,5,FALSE)</f>
        <v>4</v>
      </c>
      <c r="U176" s="378">
        <v>120</v>
      </c>
      <c r="V176" s="378">
        <f>Table2[[#This Row],[Quotas]]-Table2[[#This Row],[Open Quotas]]</f>
        <v>18</v>
      </c>
      <c r="W176" s="378">
        <v>0</v>
      </c>
      <c r="X176" s="378">
        <v>16</v>
      </c>
      <c r="Y176" s="403">
        <v>1</v>
      </c>
      <c r="Z176" s="378">
        <v>1</v>
      </c>
      <c r="AA176" s="378">
        <v>0</v>
      </c>
      <c r="AB176" s="378">
        <v>6</v>
      </c>
      <c r="AC176" s="378" t="s">
        <v>281</v>
      </c>
      <c r="AD176" s="403">
        <f ca="1">Table2[[#This Row],[End Date]]+2-TODAY()</f>
        <v>-60</v>
      </c>
      <c r="AE176" s="378">
        <f>IF(ISBLANK(Table2[[#This Row],[Received by]]),1,0)</f>
        <v>0</v>
      </c>
      <c r="AF176" s="378">
        <f ca="1">IF(Table2[[#This Row],[Start Date]]&gt;TODAY(),1,)</f>
        <v>0</v>
      </c>
      <c r="AG176" s="378">
        <f>IF(ISBLANK(Table2[[#This Row],[Primary Instructor]]),0,1)</f>
        <v>1</v>
      </c>
      <c r="AH176" s="378">
        <f>IF(ISBLANK(Table2[[#This Row],[Instructor 2]]),0,1)</f>
        <v>0</v>
      </c>
      <c r="AI176" s="378">
        <f>Table2[[#This Row],[Course Length (Hours)]]/(SUM(Table2[[#This Row],[1]:[2]]))</f>
        <v>32</v>
      </c>
      <c r="AJ176" s="378">
        <v>27</v>
      </c>
      <c r="AK176" s="526">
        <v>2</v>
      </c>
    </row>
    <row r="177" spans="1:37" s="373" customFormat="1" x14ac:dyDescent="0.25">
      <c r="A177" s="374"/>
      <c r="B177" s="411" t="s">
        <v>39</v>
      </c>
      <c r="C177" s="374" t="str">
        <f>VLOOKUP(Table2[[#This Row],[Course Title]],'TSD-Data'!$A$1:$E$56,2,FALSE)</f>
        <v>A-570-0100</v>
      </c>
      <c r="D177" s="374" t="str">
        <f>VLOOKUP(Table2[[#This Row],[Course Title]],'TSD-Data'!$A$1:$E$56,3,FALSE)</f>
        <v>18B7</v>
      </c>
      <c r="E177" s="399" t="s">
        <v>86</v>
      </c>
      <c r="F177" s="391">
        <v>45712</v>
      </c>
      <c r="G177" s="391">
        <v>45713</v>
      </c>
      <c r="H177" s="377"/>
      <c r="I177" s="377">
        <v>0.33333333333333331</v>
      </c>
      <c r="J177" s="377">
        <v>0.20833333333333334</v>
      </c>
      <c r="K177" s="377">
        <v>0.66666666666666663</v>
      </c>
      <c r="L177" s="377">
        <v>0.58333333333333337</v>
      </c>
      <c r="M177" s="377">
        <v>0.125</v>
      </c>
      <c r="N177" s="377">
        <v>0.91666666666666663</v>
      </c>
      <c r="O177" s="401" t="s">
        <v>272</v>
      </c>
      <c r="P177" s="401"/>
      <c r="Q177" s="365"/>
      <c r="R177" s="378">
        <f>VLOOKUP(Table2[[#This Row],[Course Title]],'TSD-Data'!$A$1:$E$56,4,FALSE)</f>
        <v>45</v>
      </c>
      <c r="S177" s="378">
        <f>VLOOKUP(Table2[[#This Row],[Course Title]],'TSD-Data'!$A$1:$F$53,6,FALSE)</f>
        <v>16</v>
      </c>
      <c r="T177" s="378">
        <f>VLOOKUP(Table2[[#This Row],[Course Title]],'TSD-Data'!$A$1:$E$56,5,FALSE)</f>
        <v>2</v>
      </c>
      <c r="U177" s="378">
        <v>404</v>
      </c>
      <c r="V177" s="378">
        <f>Table2[[#This Row],[Quotas]]-Table2[[#This Row],[Open Quotas]]</f>
        <v>30</v>
      </c>
      <c r="W177" s="378">
        <v>0</v>
      </c>
      <c r="X177" s="402">
        <v>18</v>
      </c>
      <c r="Y177" s="402">
        <v>7</v>
      </c>
      <c r="Z177" s="374">
        <v>6</v>
      </c>
      <c r="AA177" s="374">
        <v>0</v>
      </c>
      <c r="AB177" s="402">
        <v>0</v>
      </c>
      <c r="AC177" s="378" t="s">
        <v>287</v>
      </c>
      <c r="AD177" s="403">
        <f ca="1">Table2[[#This Row],[End Date]]+2-TODAY()</f>
        <v>-62</v>
      </c>
      <c r="AE177" s="378">
        <f>IF(ISBLANK(Table2[[#This Row],[Received by]]),1,0)</f>
        <v>0</v>
      </c>
      <c r="AF177" s="378">
        <f ca="1">IF(Table2[[#This Row],[Start Date]]&gt;TODAY(),1,)</f>
        <v>0</v>
      </c>
      <c r="AG177" s="378">
        <f>IF(ISBLANK(Table2[[#This Row],[Primary Instructor]]),0,1)</f>
        <v>1</v>
      </c>
      <c r="AH177" s="378">
        <f>IF(ISBLANK(Table2[[#This Row],[Instructor 2]]),0,1)</f>
        <v>0</v>
      </c>
      <c r="AI177" s="378">
        <f>Table2[[#This Row],[Course Length (Hours)]]/(SUM(Table2[[#This Row],[1]:[2]]))</f>
        <v>16</v>
      </c>
      <c r="AJ177" s="378">
        <v>15</v>
      </c>
      <c r="AK177" s="526">
        <v>2</v>
      </c>
    </row>
    <row r="178" spans="1:37" s="408" customFormat="1" x14ac:dyDescent="0.25">
      <c r="A178" s="401"/>
      <c r="B178" s="411" t="s">
        <v>53</v>
      </c>
      <c r="C178" s="374" t="str">
        <f>VLOOKUP(Table2[[#This Row],[Course Title]],'TSD-Data'!$A$1:$E$56,2,FALSE)</f>
        <v>A-493-0072</v>
      </c>
      <c r="D178" s="374" t="str">
        <f>VLOOKUP(Table2[[#This Row],[Course Title]],'TSD-Data'!$A$1:$E$56,3,FALSE)</f>
        <v>713U</v>
      </c>
      <c r="E178" s="399" t="s">
        <v>220</v>
      </c>
      <c r="F178" s="391">
        <v>45712</v>
      </c>
      <c r="G178" s="391">
        <v>45716</v>
      </c>
      <c r="H178" s="377">
        <v>0.33333333333333331</v>
      </c>
      <c r="I178" s="412"/>
      <c r="J178" s="412"/>
      <c r="K178" s="412"/>
      <c r="L178" s="412"/>
      <c r="M178" s="412"/>
      <c r="N178" s="412"/>
      <c r="O178" s="401" t="s">
        <v>318</v>
      </c>
      <c r="P178" s="401" t="s">
        <v>274</v>
      </c>
      <c r="Q178" s="365"/>
      <c r="R178" s="378">
        <f>VLOOKUP(Table2[[#This Row],[Course Title]],'TSD-Data'!$A$1:$E$56,4,FALSE)</f>
        <v>30</v>
      </c>
      <c r="S178" s="378">
        <f>VLOOKUP(Table2[[#This Row],[Course Title]],'TSD-Data'!$A$1:$F$53,6,FALSE)</f>
        <v>40</v>
      </c>
      <c r="T178" s="378">
        <f>VLOOKUP(Table2[[#This Row],[Course Title]],'TSD-Data'!$A$1:$E$56,5,FALSE)</f>
        <v>5</v>
      </c>
      <c r="U178" s="378">
        <v>36</v>
      </c>
      <c r="V178" s="378">
        <f>Table2[[#This Row],[Quotas]]-Table2[[#This Row],[Open Quotas]]</f>
        <v>22</v>
      </c>
      <c r="W178" s="378">
        <v>0</v>
      </c>
      <c r="X178" s="378">
        <v>21</v>
      </c>
      <c r="Y178" s="403">
        <v>0</v>
      </c>
      <c r="Z178" s="378">
        <v>4</v>
      </c>
      <c r="AA178" s="378">
        <v>0</v>
      </c>
      <c r="AB178" s="402">
        <v>2</v>
      </c>
      <c r="AC178" s="378" t="s">
        <v>281</v>
      </c>
      <c r="AD178" s="403">
        <f ca="1">Table2[[#This Row],[End Date]]+2-TODAY()</f>
        <v>-59</v>
      </c>
      <c r="AE178" s="378">
        <f>IF(ISBLANK(Table2[[#This Row],[Received by]]),1,0)</f>
        <v>0</v>
      </c>
      <c r="AF178" s="378">
        <f ca="1">IF(Table2[[#This Row],[Start Date]]&gt;TODAY(),1,)</f>
        <v>0</v>
      </c>
      <c r="AG178" s="378">
        <f>IF(ISBLANK(Table2[[#This Row],[Primary Instructor]]),0,1)</f>
        <v>1</v>
      </c>
      <c r="AH178" s="378">
        <f>IF(ISBLANK(Table2[[#This Row],[Instructor 2]]),0,1)</f>
        <v>1</v>
      </c>
      <c r="AI178" s="378">
        <f>Table2[[#This Row],[Course Length (Hours)]]/(SUM(Table2[[#This Row],[1]:[2]]))</f>
        <v>20</v>
      </c>
      <c r="AJ178" s="378">
        <v>8</v>
      </c>
      <c r="AK178" s="526">
        <v>2</v>
      </c>
    </row>
    <row r="179" spans="1:37" s="373" customFormat="1" x14ac:dyDescent="0.25">
      <c r="A179" s="374"/>
      <c r="B179" s="411" t="s">
        <v>54</v>
      </c>
      <c r="C179" s="374" t="str">
        <f>VLOOKUP(Table2[[#This Row],[Course Title]],'TSD-Data'!$A$1:$E$56,2,FALSE)</f>
        <v>F-4J-0023</v>
      </c>
      <c r="D179" s="374" t="str">
        <f>VLOOKUP(Table2[[#This Row],[Course Title]],'TSD-Data'!$A$1:$E$56,3,FALSE)</f>
        <v>11A2</v>
      </c>
      <c r="E179" s="399" t="s">
        <v>86</v>
      </c>
      <c r="F179" s="391">
        <v>45712</v>
      </c>
      <c r="G179" s="391">
        <v>45716</v>
      </c>
      <c r="H179" s="377"/>
      <c r="I179" s="380">
        <v>0.5</v>
      </c>
      <c r="J179" s="380">
        <v>0.375</v>
      </c>
      <c r="K179" s="380">
        <v>0.83333333333333337</v>
      </c>
      <c r="L179" s="380">
        <v>0.75</v>
      </c>
      <c r="M179" s="380">
        <v>0.29166666666666669</v>
      </c>
      <c r="N179" s="380">
        <v>8.3333333333333329E-2</v>
      </c>
      <c r="O179" s="401" t="s">
        <v>277</v>
      </c>
      <c r="P179" s="401" t="s">
        <v>282</v>
      </c>
      <c r="Q179" s="365"/>
      <c r="R179" s="378">
        <f>VLOOKUP(Table2[[#This Row],[Course Title]],'TSD-Data'!$A$1:$E$56,4,FALSE)</f>
        <v>45</v>
      </c>
      <c r="S179" s="378">
        <f>VLOOKUP(Table2[[#This Row],[Course Title]],'TSD-Data'!$A$1:$F$53,6,FALSE)</f>
        <v>16</v>
      </c>
      <c r="T179" s="378">
        <f>VLOOKUP(Table2[[#This Row],[Course Title]],'TSD-Data'!$A$1:$E$56,5,FALSE)</f>
        <v>2</v>
      </c>
      <c r="U179" s="378">
        <v>70</v>
      </c>
      <c r="V179" s="378">
        <f>Table2[[#This Row],[Quotas]]-Table2[[#This Row],[Open Quotas]]</f>
        <v>12</v>
      </c>
      <c r="W179" s="378">
        <v>0</v>
      </c>
      <c r="X179" s="402">
        <v>6</v>
      </c>
      <c r="Y179" s="402">
        <v>0</v>
      </c>
      <c r="Z179" s="374">
        <v>6</v>
      </c>
      <c r="AA179" s="374">
        <v>0</v>
      </c>
      <c r="AB179" s="402">
        <v>0</v>
      </c>
      <c r="AC179" s="378" t="s">
        <v>287</v>
      </c>
      <c r="AD179" s="403">
        <f ca="1">Table2[[#This Row],[End Date]]+2-TODAY()</f>
        <v>-59</v>
      </c>
      <c r="AE179" s="378">
        <f>IF(ISBLANK(Table2[[#This Row],[Received by]]),1,0)</f>
        <v>0</v>
      </c>
      <c r="AF179" s="378">
        <f ca="1">IF(Table2[[#This Row],[Start Date]]&gt;TODAY(),1,)</f>
        <v>0</v>
      </c>
      <c r="AG179" s="378">
        <f>IF(ISBLANK(Table2[[#This Row],[Primary Instructor]]),0,1)</f>
        <v>1</v>
      </c>
      <c r="AH179" s="378">
        <f>IF(ISBLANK(Table2[[#This Row],[Instructor 2]]),0,1)</f>
        <v>1</v>
      </c>
      <c r="AI179" s="378">
        <f>Table2[[#This Row],[Course Length (Hours)]]/(SUM(Table2[[#This Row],[1]:[2]]))</f>
        <v>8</v>
      </c>
      <c r="AJ179" s="378">
        <v>33</v>
      </c>
      <c r="AK179" s="526">
        <v>2</v>
      </c>
    </row>
    <row r="180" spans="1:37" s="373" customFormat="1" x14ac:dyDescent="0.25">
      <c r="A180" s="389"/>
      <c r="B180" s="411" t="s">
        <v>58</v>
      </c>
      <c r="C180" s="367" t="str">
        <f>VLOOKUP(Table2[[#This Row],[Course Title]],'TSD-Data'!$A$1:$E$56,2,FALSE)</f>
        <v xml:space="preserve">A-493-0075 </v>
      </c>
      <c r="D180" s="367" t="str">
        <f>VLOOKUP(Table2[[#This Row],[Course Title]],'TSD-Data'!$A$1:$E$56,3,FALSE)</f>
        <v>714U</v>
      </c>
      <c r="E180" s="390" t="s">
        <v>212</v>
      </c>
      <c r="F180" s="397">
        <v>45713</v>
      </c>
      <c r="G180" s="397">
        <v>45716</v>
      </c>
      <c r="H180" s="370">
        <v>0.33333333333333331</v>
      </c>
      <c r="I180" s="392"/>
      <c r="J180" s="393"/>
      <c r="K180" s="393"/>
      <c r="L180" s="393"/>
      <c r="M180" s="393"/>
      <c r="N180" s="393"/>
      <c r="O180" s="389" t="s">
        <v>314</v>
      </c>
      <c r="P180" s="389"/>
      <c r="Q180" s="365"/>
      <c r="R180" s="372">
        <f>VLOOKUP(Table2[[#This Row],[Course Title]],'TSD-Data'!$A$1:$E$56,4,FALSE)</f>
        <v>30</v>
      </c>
      <c r="S180" s="372">
        <f>VLOOKUP(Table2[[#This Row],[Course Title]],'TSD-Data'!$A$1:$F$53,6,FALSE)</f>
        <v>32</v>
      </c>
      <c r="T180" s="372">
        <f>VLOOKUP(Table2[[#This Row],[Course Title]],'TSD-Data'!$A$1:$E$56,5,FALSE)</f>
        <v>4</v>
      </c>
      <c r="U180" s="372">
        <v>137</v>
      </c>
      <c r="V180" s="372">
        <f>Table2[[#This Row],[Quotas]]-Table2[[#This Row],[Open Quotas]]</f>
        <v>18</v>
      </c>
      <c r="W180" s="372">
        <v>0</v>
      </c>
      <c r="X180" s="372">
        <v>14</v>
      </c>
      <c r="Y180" s="394">
        <v>0</v>
      </c>
      <c r="Z180" s="372">
        <v>5</v>
      </c>
      <c r="AA180" s="372">
        <v>0</v>
      </c>
      <c r="AB180" s="372">
        <v>0</v>
      </c>
      <c r="AC180" s="372" t="s">
        <v>291</v>
      </c>
      <c r="AD180" s="394">
        <f ca="1">Table2[[#This Row],[End Date]]+2-TODAY()</f>
        <v>-59</v>
      </c>
      <c r="AE180" s="372">
        <f>IF(ISBLANK(Table2[[#This Row],[Received by]]),1,0)</f>
        <v>0</v>
      </c>
      <c r="AF180" s="372">
        <f ca="1">IF(Table2[[#This Row],[Start Date]]&gt;TODAY(),1,)</f>
        <v>0</v>
      </c>
      <c r="AG180" s="372">
        <f>IF(ISBLANK(Table2[[#This Row],[Primary Instructor]]),0,1)</f>
        <v>1</v>
      </c>
      <c r="AH180" s="372">
        <f>IF(ISBLANK(Table2[[#This Row],[Instructor 2]]),0,1)</f>
        <v>0</v>
      </c>
      <c r="AI180" s="372">
        <f>Table2[[#This Row],[Course Length (Hours)]]/(SUM(Table2[[#This Row],[1]:[2]]))</f>
        <v>32</v>
      </c>
      <c r="AJ180" s="372">
        <v>12</v>
      </c>
      <c r="AK180" s="396">
        <v>2</v>
      </c>
    </row>
    <row r="181" spans="1:37" s="373" customFormat="1" x14ac:dyDescent="0.25">
      <c r="A181" s="389" t="s">
        <v>484</v>
      </c>
      <c r="B181" s="411" t="s">
        <v>31</v>
      </c>
      <c r="C181" s="367" t="str">
        <f>VLOOKUP(Table2[[#This Row],[Course Title]],'TSD-Data'!$A$1:$E$56,2,FALSE)</f>
        <v>A-493-0083</v>
      </c>
      <c r="D181" s="367" t="str">
        <f>VLOOKUP(Table2[[#This Row],[Course Title]],'TSD-Data'!$A$1:$E$56,3,FALSE)</f>
        <v>339E</v>
      </c>
      <c r="E181" s="399" t="s">
        <v>86</v>
      </c>
      <c r="F181" s="391">
        <v>45713</v>
      </c>
      <c r="G181" s="391">
        <v>45713</v>
      </c>
      <c r="H181" s="370"/>
      <c r="I181" s="381">
        <v>8.3333333333333329E-2</v>
      </c>
      <c r="J181" s="381">
        <v>0.95833333333333337</v>
      </c>
      <c r="K181" s="381">
        <v>0.41666666666666669</v>
      </c>
      <c r="L181" s="381">
        <v>0.33333333333333331</v>
      </c>
      <c r="M181" s="381">
        <v>0.875</v>
      </c>
      <c r="N181" s="381">
        <v>0.66666666666666663</v>
      </c>
      <c r="O181" s="389" t="s">
        <v>280</v>
      </c>
      <c r="P181" s="389"/>
      <c r="Q181" s="365"/>
      <c r="R181" s="372">
        <f>VLOOKUP(Table2[[#This Row],[Course Title]],'TSD-Data'!$A$1:$E$56,4,FALSE)</f>
        <v>30</v>
      </c>
      <c r="S181" s="372">
        <f>VLOOKUP(Table2[[#This Row],[Course Title]],'TSD-Data'!$A$1:$F$53,6,FALSE)</f>
        <v>8</v>
      </c>
      <c r="T181" s="372">
        <f>VLOOKUP(Table2[[#This Row],[Course Title]],'TSD-Data'!$A$1:$E$56,5,FALSE)</f>
        <v>1</v>
      </c>
      <c r="U181" s="372">
        <v>0</v>
      </c>
      <c r="V181" s="372">
        <f>Table2[[#This Row],[Quotas]]-Table2[[#This Row],[Open Quotas]]</f>
        <v>29</v>
      </c>
      <c r="W181" s="372">
        <v>0</v>
      </c>
      <c r="X181" s="372">
        <v>17</v>
      </c>
      <c r="Y181" s="394">
        <v>0</v>
      </c>
      <c r="Z181" s="372">
        <v>4</v>
      </c>
      <c r="AA181" s="372">
        <v>0</v>
      </c>
      <c r="AB181" s="372">
        <v>17</v>
      </c>
      <c r="AC181" s="372" t="s">
        <v>287</v>
      </c>
      <c r="AD181" s="394">
        <f ca="1">Table2[[#This Row],[End Date]]+2-TODAY()</f>
        <v>-62</v>
      </c>
      <c r="AE181" s="372">
        <f>IF(ISBLANK(Table2[[#This Row],[Received by]]),1,0)</f>
        <v>0</v>
      </c>
      <c r="AF181" s="372">
        <f ca="1">IF(Table2[[#This Row],[Start Date]]&gt;TODAY(),1,)</f>
        <v>0</v>
      </c>
      <c r="AG181" s="372">
        <f>IF(ISBLANK(Table2[[#This Row],[Primary Instructor]]),0,1)</f>
        <v>1</v>
      </c>
      <c r="AH181" s="372">
        <f>IF(ISBLANK(Table2[[#This Row],[Instructor 2]]),0,1)</f>
        <v>0</v>
      </c>
      <c r="AI181" s="372">
        <f>Table2[[#This Row],[Course Length (Hours)]]/(SUM(Table2[[#This Row],[1]:[2]]))</f>
        <v>8</v>
      </c>
      <c r="AJ181" s="372">
        <v>1</v>
      </c>
      <c r="AK181" s="396">
        <v>2</v>
      </c>
    </row>
    <row r="182" spans="1:37" s="373" customFormat="1" x14ac:dyDescent="0.25">
      <c r="A182" s="389" t="s">
        <v>6</v>
      </c>
      <c r="B182" s="411" t="s">
        <v>33</v>
      </c>
      <c r="C182" s="367" t="str">
        <f>VLOOKUP(Table2[[#This Row],[Course Title]],'TSD-Data'!$A$1:$E$56,2,FALSE)</f>
        <v>A-493-2301</v>
      </c>
      <c r="D182" s="367" t="str">
        <f>VLOOKUP(Table2[[#This Row],[Course Title]],'TSD-Data'!$A$1:$E$56,3,FALSE)</f>
        <v>05ZD</v>
      </c>
      <c r="E182" s="399" t="s">
        <v>86</v>
      </c>
      <c r="F182" s="397">
        <v>45714</v>
      </c>
      <c r="G182" s="397">
        <v>45714</v>
      </c>
      <c r="H182" s="370">
        <v>0.33333333333333331</v>
      </c>
      <c r="I182" s="398"/>
      <c r="J182" s="398"/>
      <c r="K182" s="398"/>
      <c r="L182" s="398"/>
      <c r="M182" s="398"/>
      <c r="N182" s="398"/>
      <c r="O182" s="389" t="s">
        <v>280</v>
      </c>
      <c r="P182" s="389"/>
      <c r="Q182" s="365"/>
      <c r="R182" s="372">
        <f>VLOOKUP(Table2[[#This Row],[Course Title]],'TSD-Data'!$A$1:$E$56,4,FALSE)</f>
        <v>30</v>
      </c>
      <c r="S182" s="372">
        <f>VLOOKUP(Table2[[#This Row],[Course Title]],'TSD-Data'!$A$1:$F$53,6,FALSE)</f>
        <v>8</v>
      </c>
      <c r="T182" s="372">
        <f>VLOOKUP(Table2[[#This Row],[Course Title]],'TSD-Data'!$A$1:$E$56,5,FALSE)</f>
        <v>1</v>
      </c>
      <c r="U182" s="372">
        <v>30</v>
      </c>
      <c r="V182" s="372">
        <f>Table2[[#This Row],[Quotas]]-Table2[[#This Row],[Open Quotas]]</f>
        <v>0</v>
      </c>
      <c r="W182" s="372">
        <v>0</v>
      </c>
      <c r="X182" s="372">
        <v>0</v>
      </c>
      <c r="Y182" s="394">
        <v>0</v>
      </c>
      <c r="Z182" s="372">
        <v>0</v>
      </c>
      <c r="AA182" s="372">
        <v>0</v>
      </c>
      <c r="AB182" s="372">
        <v>0</v>
      </c>
      <c r="AC182" s="372" t="s">
        <v>287</v>
      </c>
      <c r="AD182" s="394">
        <f ca="1">Table2[[#This Row],[End Date]]+2-TODAY()</f>
        <v>-61</v>
      </c>
      <c r="AE182" s="372">
        <f>IF(ISBLANK(Table2[[#This Row],[Received by]]),1,0)</f>
        <v>0</v>
      </c>
      <c r="AF182" s="372">
        <f ca="1">IF(Table2[[#This Row],[Start Date]]&gt;TODAY(),1,)</f>
        <v>0</v>
      </c>
      <c r="AG182" s="372">
        <f>IF(ISBLANK(Table2[[#This Row],[Primary Instructor]]),0,1)</f>
        <v>1</v>
      </c>
      <c r="AH182" s="372">
        <f>IF(ISBLANK(Table2[[#This Row],[Instructor 2]]),0,1)</f>
        <v>0</v>
      </c>
      <c r="AI182" s="372">
        <f>Table2[[#This Row],[Course Length (Hours)]]/(SUM(Table2[[#This Row],[1]:[2]]))</f>
        <v>8</v>
      </c>
      <c r="AJ182" s="372">
        <v>30</v>
      </c>
      <c r="AK182" s="396">
        <v>2</v>
      </c>
    </row>
    <row r="183" spans="1:37" s="373" customFormat="1" x14ac:dyDescent="0.25">
      <c r="A183" s="389" t="s">
        <v>6</v>
      </c>
      <c r="B183" s="411" t="s">
        <v>34</v>
      </c>
      <c r="C183" s="367" t="str">
        <f>VLOOKUP(Table2[[#This Row],[Course Title]],'TSD-Data'!$A$1:$E$56,2,FALSE)</f>
        <v>A-493-0216</v>
      </c>
      <c r="D183" s="367" t="str">
        <f>VLOOKUP(Table2[[#This Row],[Course Title]],'TSD-Data'!$A$1:$E$56,3,FALSE)</f>
        <v>12X8</v>
      </c>
      <c r="E183" s="399" t="s">
        <v>86</v>
      </c>
      <c r="F183" s="397">
        <v>45715</v>
      </c>
      <c r="G183" s="397">
        <v>45715</v>
      </c>
      <c r="H183" s="370">
        <v>0.33333333333333331</v>
      </c>
      <c r="I183" s="398"/>
      <c r="J183" s="398"/>
      <c r="K183" s="398"/>
      <c r="L183" s="398"/>
      <c r="M183" s="398"/>
      <c r="N183" s="398"/>
      <c r="O183" s="389" t="s">
        <v>280</v>
      </c>
      <c r="P183" s="389"/>
      <c r="Q183" s="365"/>
      <c r="R183" s="372">
        <f>VLOOKUP(Table2[[#This Row],[Course Title]],'TSD-Data'!$A$1:$E$56,4,FALSE)</f>
        <v>30</v>
      </c>
      <c r="S183" s="372">
        <f>VLOOKUP(Table2[[#This Row],[Course Title]],'TSD-Data'!$A$1:$F$53,6,FALSE)</f>
        <v>8</v>
      </c>
      <c r="T183" s="372">
        <f>VLOOKUP(Table2[[#This Row],[Course Title]],'TSD-Data'!$A$1:$E$56,5,FALSE)</f>
        <v>1</v>
      </c>
      <c r="U183" s="372">
        <v>30</v>
      </c>
      <c r="V183" s="372">
        <f>Table2[[#This Row],[Quotas]]-Table2[[#This Row],[Open Quotas]]</f>
        <v>6</v>
      </c>
      <c r="W183" s="372">
        <v>0</v>
      </c>
      <c r="X183" s="372">
        <v>8</v>
      </c>
      <c r="Y183" s="394">
        <v>0</v>
      </c>
      <c r="Z183" s="372">
        <v>0</v>
      </c>
      <c r="AA183" s="372">
        <v>2</v>
      </c>
      <c r="AB183" s="372">
        <v>8</v>
      </c>
      <c r="AC183" s="372" t="s">
        <v>287</v>
      </c>
      <c r="AD183" s="394">
        <f ca="1">Table2[[#This Row],[End Date]]+2-TODAY()</f>
        <v>-60</v>
      </c>
      <c r="AE183" s="372">
        <f>IF(ISBLANK(Table2[[#This Row],[Received by]]),1,0)</f>
        <v>0</v>
      </c>
      <c r="AF183" s="372">
        <f ca="1">IF(Table2[[#This Row],[Start Date]]&gt;TODAY(),1,)</f>
        <v>0</v>
      </c>
      <c r="AG183" s="372">
        <f>IF(ISBLANK(Table2[[#This Row],[Primary Instructor]]),0,1)</f>
        <v>1</v>
      </c>
      <c r="AH183" s="372">
        <f>IF(ISBLANK(Table2[[#This Row],[Instructor 2]]),0,1)</f>
        <v>0</v>
      </c>
      <c r="AI183" s="372">
        <f>Table2[[#This Row],[Course Length (Hours)]]/(SUM(Table2[[#This Row],[1]:[2]]))</f>
        <v>8</v>
      </c>
      <c r="AJ183" s="372">
        <v>24</v>
      </c>
      <c r="AK183" s="396">
        <v>2</v>
      </c>
    </row>
    <row r="184" spans="1:37" s="373" customFormat="1" x14ac:dyDescent="0.25">
      <c r="A184" s="401" t="s">
        <v>6</v>
      </c>
      <c r="B184" s="411" t="s">
        <v>35</v>
      </c>
      <c r="C184" s="374" t="str">
        <f>VLOOKUP(Table2[[#This Row],[Course Title]],'TSD-Data'!$A$1:$E$56,2,FALSE)</f>
        <v>A-493-2501</v>
      </c>
      <c r="D184" s="374" t="str">
        <f>VLOOKUP(Table2[[#This Row],[Course Title]],'TSD-Data'!$A$1:$E$56,3,FALSE)</f>
        <v>05ZE</v>
      </c>
      <c r="E184" s="399" t="s">
        <v>86</v>
      </c>
      <c r="F184" s="375">
        <v>45716</v>
      </c>
      <c r="G184" s="391">
        <v>45716</v>
      </c>
      <c r="H184" s="377">
        <v>0.33333333333333331</v>
      </c>
      <c r="I184" s="404"/>
      <c r="J184" s="404"/>
      <c r="K184" s="404"/>
      <c r="L184" s="404"/>
      <c r="M184" s="404"/>
      <c r="N184" s="404"/>
      <c r="O184" s="401" t="s">
        <v>280</v>
      </c>
      <c r="P184" s="401"/>
      <c r="Q184" s="365"/>
      <c r="R184" s="378">
        <f>VLOOKUP(Table2[[#This Row],[Course Title]],'TSD-Data'!$A$1:$E$56,4,FALSE)</f>
        <v>30</v>
      </c>
      <c r="S184" s="378">
        <f>VLOOKUP(Table2[[#This Row],[Course Title]],'TSD-Data'!$A$1:$F$53,6,FALSE)</f>
        <v>8</v>
      </c>
      <c r="T184" s="378">
        <f>VLOOKUP(Table2[[#This Row],[Course Title]],'TSD-Data'!$A$1:$E$56,5,FALSE)</f>
        <v>1</v>
      </c>
      <c r="U184" s="378">
        <v>20</v>
      </c>
      <c r="V184" s="378">
        <f>Table2[[#This Row],[Quotas]]-Table2[[#This Row],[Open Quotas]]</f>
        <v>1</v>
      </c>
      <c r="W184" s="378">
        <v>0</v>
      </c>
      <c r="X184" s="378">
        <v>8</v>
      </c>
      <c r="Y184" s="403">
        <v>0</v>
      </c>
      <c r="Z184" s="378">
        <v>0</v>
      </c>
      <c r="AA184" s="378">
        <v>7</v>
      </c>
      <c r="AB184" s="378">
        <v>8</v>
      </c>
      <c r="AC184" s="378" t="s">
        <v>287</v>
      </c>
      <c r="AD184" s="403">
        <f ca="1">Table2[[#This Row],[End Date]]+2-TODAY()</f>
        <v>-59</v>
      </c>
      <c r="AE184" s="378">
        <f>IF(ISBLANK(Table2[[#This Row],[Received by]]),1,0)</f>
        <v>0</v>
      </c>
      <c r="AF184" s="378">
        <f ca="1">IF(Table2[[#This Row],[Start Date]]&gt;TODAY(),1,)</f>
        <v>0</v>
      </c>
      <c r="AG184" s="378">
        <f>IF(ISBLANK(Table2[[#This Row],[Primary Instructor]]),0,1)</f>
        <v>1</v>
      </c>
      <c r="AH184" s="378">
        <f>IF(ISBLANK(Table2[[#This Row],[Instructor 2]]),0,1)</f>
        <v>0</v>
      </c>
      <c r="AI184" s="378">
        <f>Table2[[#This Row],[Course Length (Hours)]]/(SUM(Table2[[#This Row],[1]:[2]]))</f>
        <v>8</v>
      </c>
      <c r="AJ184" s="378">
        <v>29</v>
      </c>
      <c r="AK184" s="526">
        <v>2</v>
      </c>
    </row>
    <row r="185" spans="1:37" s="373" customFormat="1" x14ac:dyDescent="0.25">
      <c r="A185" s="389"/>
      <c r="B185" s="411" t="s">
        <v>55</v>
      </c>
      <c r="C185" s="367" t="str">
        <f>VLOOKUP(Table2[[#This Row],[Course Title]],'TSD-Data'!$A$1:$E$56,2,FALSE)</f>
        <v>A-493-0103</v>
      </c>
      <c r="D185" s="367" t="str">
        <f>VLOOKUP(Table2[[#This Row],[Course Title]],'TSD-Data'!$A$1:$E$56,3,FALSE)</f>
        <v>12JY</v>
      </c>
      <c r="E185" s="390" t="s">
        <v>198</v>
      </c>
      <c r="F185" s="391">
        <v>45719</v>
      </c>
      <c r="G185" s="391">
        <v>45723</v>
      </c>
      <c r="H185" s="370">
        <v>0.33333333333333331</v>
      </c>
      <c r="I185" s="370"/>
      <c r="J185" s="404"/>
      <c r="K185" s="398"/>
      <c r="L185" s="398"/>
      <c r="M185" s="398"/>
      <c r="N185" s="398"/>
      <c r="O185" s="389" t="s">
        <v>314</v>
      </c>
      <c r="P185" s="389"/>
      <c r="Q185" s="365"/>
      <c r="R185" s="372">
        <f>VLOOKUP(Table2[[#This Row],[Course Title]],'TSD-Data'!$A$1:$E$56,4,FALSE)</f>
        <v>25</v>
      </c>
      <c r="S185" s="372">
        <f>VLOOKUP(Table2[[#This Row],[Course Title]],'TSD-Data'!$A$1:$F$53,6,FALSE)</f>
        <v>40</v>
      </c>
      <c r="T185" s="372">
        <f>VLOOKUP(Table2[[#This Row],[Course Title]],'TSD-Data'!$A$1:$E$56,5,FALSE)</f>
        <v>5</v>
      </c>
      <c r="U185" s="372">
        <v>332</v>
      </c>
      <c r="V185" s="372">
        <f>Table2[[#This Row],[Quotas]]-Table2[[#This Row],[Open Quotas]]</f>
        <v>24</v>
      </c>
      <c r="W185" s="372">
        <v>0</v>
      </c>
      <c r="X185" s="394">
        <v>25</v>
      </c>
      <c r="Y185" s="394">
        <v>0</v>
      </c>
      <c r="Z185" s="372">
        <v>6</v>
      </c>
      <c r="AA185" s="372">
        <v>0</v>
      </c>
      <c r="AB185" s="372">
        <v>0</v>
      </c>
      <c r="AC185" s="372" t="s">
        <v>291</v>
      </c>
      <c r="AD185" s="394">
        <f ca="1">Table2[[#This Row],[End Date]]+2-TODAY()</f>
        <v>-52</v>
      </c>
      <c r="AE185" s="372">
        <f>IF(ISBLANK(Table2[[#This Row],[Received by]]),1,0)</f>
        <v>0</v>
      </c>
      <c r="AF185" s="372">
        <f ca="1">IF(Table2[[#This Row],[Start Date]]&gt;TODAY(),1,)</f>
        <v>0</v>
      </c>
      <c r="AG185" s="372">
        <f>IF(ISBLANK(Table2[[#This Row],[Primary Instructor]]),0,1)</f>
        <v>1</v>
      </c>
      <c r="AH185" s="372">
        <f>IF(ISBLANK(Table2[[#This Row],[Instructor 2]]),0,1)</f>
        <v>0</v>
      </c>
      <c r="AI185" s="372">
        <f>Table2[[#This Row],[Course Length (Hours)]]/(SUM(Table2[[#This Row],[1]:[2]]))</f>
        <v>40</v>
      </c>
      <c r="AJ185" s="372">
        <v>1</v>
      </c>
      <c r="AK185" s="396">
        <v>2</v>
      </c>
    </row>
    <row r="186" spans="1:37" s="373" customFormat="1" x14ac:dyDescent="0.25">
      <c r="A186" s="389"/>
      <c r="B186" s="411" t="s">
        <v>55</v>
      </c>
      <c r="C186" s="367" t="str">
        <f>VLOOKUP(Table2[[#This Row],[Course Title]],'TSD-Data'!$A$1:$E$56,2,FALSE)</f>
        <v>A-493-0103</v>
      </c>
      <c r="D186" s="367" t="str">
        <f>VLOOKUP(Table2[[#This Row],[Course Title]],'TSD-Data'!$A$1:$E$56,3,FALSE)</f>
        <v>12JY</v>
      </c>
      <c r="E186" s="390" t="s">
        <v>220</v>
      </c>
      <c r="F186" s="391">
        <v>45719</v>
      </c>
      <c r="G186" s="391">
        <v>45723</v>
      </c>
      <c r="H186" s="370">
        <v>0.33333333333333331</v>
      </c>
      <c r="I186" s="392"/>
      <c r="J186" s="412"/>
      <c r="K186" s="392"/>
      <c r="L186" s="392"/>
      <c r="M186" s="392"/>
      <c r="N186" s="392"/>
      <c r="O186" s="389" t="s">
        <v>314</v>
      </c>
      <c r="P186" s="389"/>
      <c r="Q186" s="365"/>
      <c r="R186" s="372">
        <f>VLOOKUP(Table2[[#This Row],[Course Title]],'TSD-Data'!$A$1:$E$56,4,FALSE)</f>
        <v>25</v>
      </c>
      <c r="S186" s="372">
        <f>VLOOKUP(Table2[[#This Row],[Course Title]],'TSD-Data'!$A$1:$F$53,6,FALSE)</f>
        <v>40</v>
      </c>
      <c r="T186" s="372">
        <f>VLOOKUP(Table2[[#This Row],[Course Title]],'TSD-Data'!$A$1:$E$56,5,FALSE)</f>
        <v>5</v>
      </c>
      <c r="U186" s="372">
        <v>65</v>
      </c>
      <c r="V186" s="372">
        <f>Table2[[#This Row],[Quotas]]-Table2[[#This Row],[Open Quotas]]</f>
        <v>11</v>
      </c>
      <c r="W186" s="372">
        <v>0</v>
      </c>
      <c r="X186" s="372">
        <v>9</v>
      </c>
      <c r="Y186" s="394">
        <v>0</v>
      </c>
      <c r="Z186" s="372">
        <v>4</v>
      </c>
      <c r="AA186" s="372">
        <v>0</v>
      </c>
      <c r="AB186" s="372">
        <v>0</v>
      </c>
      <c r="AC186" s="372" t="s">
        <v>291</v>
      </c>
      <c r="AD186" s="394">
        <f ca="1">Table2[[#This Row],[End Date]]+2-TODAY()</f>
        <v>-52</v>
      </c>
      <c r="AE186" s="372">
        <f>IF(ISBLANK(Table2[[#This Row],[Received by]]),1,0)</f>
        <v>0</v>
      </c>
      <c r="AF186" s="372">
        <f ca="1">IF(Table2[[#This Row],[Start Date]]&gt;TODAY(),1,)</f>
        <v>0</v>
      </c>
      <c r="AG186" s="372">
        <f>IF(ISBLANK(Table2[[#This Row],[Primary Instructor]]),0,1)</f>
        <v>1</v>
      </c>
      <c r="AH186" s="372">
        <f>IF(ISBLANK(Table2[[#This Row],[Instructor 2]]),0,1)</f>
        <v>0</v>
      </c>
      <c r="AI186" s="372">
        <f>Table2[[#This Row],[Course Length (Hours)]]/(SUM(Table2[[#This Row],[1]:[2]]))</f>
        <v>40</v>
      </c>
      <c r="AJ186" s="372">
        <v>14</v>
      </c>
      <c r="AK186" s="396">
        <v>2</v>
      </c>
    </row>
    <row r="187" spans="1:37" s="408" customFormat="1" x14ac:dyDescent="0.25">
      <c r="A187" s="429"/>
      <c r="B187" s="411" t="s">
        <v>58</v>
      </c>
      <c r="C187" s="367" t="str">
        <f>VLOOKUP(Table2[[#This Row],[Course Title]],'TSD-Data'!$A$1:$E$56,2,FALSE)</f>
        <v xml:space="preserve">A-493-0075 </v>
      </c>
      <c r="D187" s="367" t="str">
        <f>VLOOKUP(Table2[[#This Row],[Course Title]],'TSD-Data'!$A$1:$E$56,3,FALSE)</f>
        <v>714U</v>
      </c>
      <c r="E187" s="390" t="s">
        <v>219</v>
      </c>
      <c r="F187" s="397">
        <v>45719</v>
      </c>
      <c r="G187" s="397">
        <v>45722</v>
      </c>
      <c r="H187" s="370">
        <v>0.33333333333333331</v>
      </c>
      <c r="I187" s="392"/>
      <c r="J187" s="392"/>
      <c r="K187" s="393"/>
      <c r="L187" s="393"/>
      <c r="M187" s="393"/>
      <c r="N187" s="393"/>
      <c r="O187" s="389" t="s">
        <v>314</v>
      </c>
      <c r="P187" s="389"/>
      <c r="Q187" s="365"/>
      <c r="R187" s="372">
        <f>VLOOKUP(Table2[[#This Row],[Course Title]],'TSD-Data'!$A$1:$E$56,4,FALSE)</f>
        <v>30</v>
      </c>
      <c r="S187" s="372">
        <f>VLOOKUP(Table2[[#This Row],[Course Title]],'TSD-Data'!$A$1:$F$53,6,FALSE)</f>
        <v>32</v>
      </c>
      <c r="T187" s="372">
        <f>VLOOKUP(Table2[[#This Row],[Course Title]],'TSD-Data'!$A$1:$E$56,5,FALSE)</f>
        <v>4</v>
      </c>
      <c r="U187" s="372">
        <v>2</v>
      </c>
      <c r="V187" s="372">
        <f>Table2[[#This Row],[Quotas]]-Table2[[#This Row],[Open Quotas]]</f>
        <v>7</v>
      </c>
      <c r="W187" s="372">
        <v>0</v>
      </c>
      <c r="X187" s="372">
        <v>7</v>
      </c>
      <c r="Y187" s="394">
        <v>0</v>
      </c>
      <c r="Z187" s="372">
        <v>0</v>
      </c>
      <c r="AA187" s="372">
        <v>0</v>
      </c>
      <c r="AB187" s="372">
        <v>0</v>
      </c>
      <c r="AC187" s="372" t="s">
        <v>291</v>
      </c>
      <c r="AD187" s="394">
        <f ca="1">Table2[[#This Row],[End Date]]+2-TODAY()</f>
        <v>-53</v>
      </c>
      <c r="AE187" s="372">
        <f>IF(ISBLANK(Table2[[#This Row],[Received by]]),1,0)</f>
        <v>0</v>
      </c>
      <c r="AF187" s="372">
        <f ca="1">IF(Table2[[#This Row],[Start Date]]&gt;TODAY(),1,)</f>
        <v>0</v>
      </c>
      <c r="AG187" s="372">
        <f>IF(ISBLANK(Table2[[#This Row],[Primary Instructor]]),0,1)</f>
        <v>1</v>
      </c>
      <c r="AH187" s="372">
        <f>IF(ISBLANK(Table2[[#This Row],[Instructor 2]]),0,1)</f>
        <v>0</v>
      </c>
      <c r="AI187" s="372">
        <f>Table2[[#This Row],[Course Length (Hours)]]/(SUM(Table2[[#This Row],[1]:[2]]))</f>
        <v>32</v>
      </c>
      <c r="AJ187" s="372">
        <v>23</v>
      </c>
      <c r="AK187" s="396">
        <v>2</v>
      </c>
    </row>
    <row r="188" spans="1:37" s="373" customFormat="1" x14ac:dyDescent="0.25">
      <c r="A188" s="429"/>
      <c r="B188" s="411" t="s">
        <v>38</v>
      </c>
      <c r="C188" s="367" t="str">
        <f>VLOOKUP(Table2[[#This Row],[Course Title]],'TSD-Data'!$A$1:$E$56,2,FALSE)</f>
        <v>A-493-0061</v>
      </c>
      <c r="D188" s="367" t="str">
        <f>VLOOKUP(Table2[[#This Row],[Course Title]],'TSD-Data'!$A$1:$E$56,3,FALSE)</f>
        <v>288E</v>
      </c>
      <c r="E188" s="390" t="s">
        <v>86</v>
      </c>
      <c r="F188" s="397">
        <v>45719</v>
      </c>
      <c r="G188" s="397">
        <v>45722</v>
      </c>
      <c r="H188" s="370"/>
      <c r="I188" s="370">
        <v>0.45833333333333331</v>
      </c>
      <c r="J188" s="370">
        <v>0.33333333333333331</v>
      </c>
      <c r="K188" s="370">
        <v>0.79166666666666663</v>
      </c>
      <c r="L188" s="370">
        <v>0.70833333333333337</v>
      </c>
      <c r="M188" s="370">
        <v>0.25</v>
      </c>
      <c r="N188" s="370">
        <v>4.1666666666666664E-2</v>
      </c>
      <c r="O188" s="389" t="s">
        <v>303</v>
      </c>
      <c r="P188" s="389"/>
      <c r="Q188" s="365"/>
      <c r="R188" s="372">
        <f>VLOOKUP(Table2[[#This Row],[Course Title]],'TSD-Data'!$A$1:$E$56,4,FALSE)</f>
        <v>45</v>
      </c>
      <c r="S188" s="372">
        <f>VLOOKUP(Table2[[#This Row],[Course Title]],'TSD-Data'!$A$1:$F$53,6,FALSE)</f>
        <v>30</v>
      </c>
      <c r="T188" s="372">
        <f>VLOOKUP(Table2[[#This Row],[Course Title]],'TSD-Data'!$A$1:$E$56,5,FALSE)</f>
        <v>4</v>
      </c>
      <c r="U188" s="372">
        <v>533</v>
      </c>
      <c r="V188" s="372">
        <f>Table2[[#This Row],[Quotas]]-Table2[[#This Row],[Open Quotas]]</f>
        <v>32</v>
      </c>
      <c r="W188" s="372">
        <v>0</v>
      </c>
      <c r="X188" s="372">
        <v>24</v>
      </c>
      <c r="Y188" s="394">
        <v>0</v>
      </c>
      <c r="Z188" s="372">
        <v>8</v>
      </c>
      <c r="AA188" s="372">
        <v>0</v>
      </c>
      <c r="AB188" s="372">
        <v>0</v>
      </c>
      <c r="AC188" s="372" t="s">
        <v>291</v>
      </c>
      <c r="AD188" s="394">
        <f ca="1">Table2[[#This Row],[End Date]]+2-TODAY()</f>
        <v>-53</v>
      </c>
      <c r="AE188" s="372">
        <f>IF(ISBLANK(Table2[[#This Row],[Received by]]),1,0)</f>
        <v>0</v>
      </c>
      <c r="AF188" s="372">
        <f ca="1">IF(Table2[[#This Row],[Start Date]]&gt;TODAY(),1,)</f>
        <v>0</v>
      </c>
      <c r="AG188" s="372">
        <f>IF(ISBLANK(Table2[[#This Row],[Primary Instructor]]),0,1)</f>
        <v>1</v>
      </c>
      <c r="AH188" s="372">
        <f>IF(ISBLANK(Table2[[#This Row],[Instructor 2]]),0,1)</f>
        <v>0</v>
      </c>
      <c r="AI188" s="372">
        <f>Table2[[#This Row],[Course Length (Hours)]]/(SUM(Table2[[#This Row],[1]:[2]]))</f>
        <v>30</v>
      </c>
      <c r="AJ188" s="372">
        <v>13</v>
      </c>
      <c r="AK188" s="396">
        <v>2</v>
      </c>
    </row>
    <row r="189" spans="1:37" s="408" customFormat="1" x14ac:dyDescent="0.25">
      <c r="A189" s="389"/>
      <c r="B189" s="411" t="s">
        <v>29</v>
      </c>
      <c r="C189" s="367" t="str">
        <f>VLOOKUP(Table2[[#This Row],[Course Title]],'TSD-Data'!$A$1:$E$56,2,FALSE)</f>
        <v>A-493-0077</v>
      </c>
      <c r="D189" s="367" t="str">
        <f>VLOOKUP(Table2[[#This Row],[Course Title]],'TSD-Data'!$A$1:$E$56,3,FALSE)</f>
        <v>0381</v>
      </c>
      <c r="E189" s="399" t="s">
        <v>172</v>
      </c>
      <c r="F189" s="391">
        <v>45719</v>
      </c>
      <c r="G189" s="391">
        <v>45721</v>
      </c>
      <c r="H189" s="370">
        <v>0.33333333333333331</v>
      </c>
      <c r="I189" s="392"/>
      <c r="J189" s="392"/>
      <c r="K189" s="392"/>
      <c r="L189" s="392"/>
      <c r="M189" s="392"/>
      <c r="N189" s="392"/>
      <c r="O189" s="389" t="s">
        <v>280</v>
      </c>
      <c r="P189" s="389"/>
      <c r="Q189" s="365"/>
      <c r="R189" s="372">
        <f>VLOOKUP(Table2[[#This Row],[Course Title]],'TSD-Data'!$A$1:$E$56,4,FALSE)</f>
        <v>25</v>
      </c>
      <c r="S189" s="372">
        <f>VLOOKUP(Table2[[#This Row],[Course Title]],'TSD-Data'!$A$1:$F$53,6,FALSE)</f>
        <v>24</v>
      </c>
      <c r="T189" s="372">
        <f>VLOOKUP(Table2[[#This Row],[Course Title]],'TSD-Data'!$A$1:$E$56,5,FALSE)</f>
        <v>3</v>
      </c>
      <c r="U189" s="372">
        <v>33</v>
      </c>
      <c r="V189" s="372">
        <f>Table2[[#This Row],[Quotas]]-Table2[[#This Row],[Open Quotas]]</f>
        <v>16</v>
      </c>
      <c r="W189" s="372">
        <v>0</v>
      </c>
      <c r="X189" s="372">
        <v>22</v>
      </c>
      <c r="Y189" s="394">
        <v>0</v>
      </c>
      <c r="Z189" s="372">
        <v>0</v>
      </c>
      <c r="AA189" s="372">
        <v>7</v>
      </c>
      <c r="AB189" s="372">
        <v>0</v>
      </c>
      <c r="AC189" s="372" t="s">
        <v>287</v>
      </c>
      <c r="AD189" s="394">
        <f ca="1">Table2[[#This Row],[End Date]]+2-TODAY()</f>
        <v>-54</v>
      </c>
      <c r="AE189" s="372">
        <f>IF(ISBLANK(Table2[[#This Row],[Received by]]),1,0)</f>
        <v>0</v>
      </c>
      <c r="AF189" s="372">
        <f ca="1">IF(Table2[[#This Row],[Start Date]]&gt;TODAY(),1,)</f>
        <v>0</v>
      </c>
      <c r="AG189" s="372">
        <f>IF(ISBLANK(Table2[[#This Row],[Primary Instructor]]),0,1)</f>
        <v>1</v>
      </c>
      <c r="AH189" s="372">
        <f>IF(ISBLANK(Table2[[#This Row],[Instructor 2]]),0,1)</f>
        <v>0</v>
      </c>
      <c r="AI189" s="372">
        <f>Table2[[#This Row],[Course Length (Hours)]]/(SUM(Table2[[#This Row],[1]:[2]]))</f>
        <v>24</v>
      </c>
      <c r="AJ189" s="372">
        <v>9</v>
      </c>
      <c r="AK189" s="396">
        <v>2</v>
      </c>
    </row>
    <row r="190" spans="1:37" s="373" customFormat="1" x14ac:dyDescent="0.25">
      <c r="A190" s="374"/>
      <c r="B190" s="411" t="s">
        <v>39</v>
      </c>
      <c r="C190" s="374" t="str">
        <f>VLOOKUP(Table2[[#This Row],[Course Title]],'TSD-Data'!$A$1:$E$56,2,FALSE)</f>
        <v>A-570-0100</v>
      </c>
      <c r="D190" s="374" t="str">
        <f>VLOOKUP(Table2[[#This Row],[Course Title]],'TSD-Data'!$A$1:$E$56,3,FALSE)</f>
        <v>18B7</v>
      </c>
      <c r="E190" s="399" t="s">
        <v>86</v>
      </c>
      <c r="F190" s="391">
        <v>45719</v>
      </c>
      <c r="G190" s="391">
        <v>45720</v>
      </c>
      <c r="H190" s="377"/>
      <c r="I190" s="380">
        <v>0.5</v>
      </c>
      <c r="J190" s="380">
        <v>0.375</v>
      </c>
      <c r="K190" s="380">
        <v>0.83333333333333337</v>
      </c>
      <c r="L190" s="380">
        <v>0.75</v>
      </c>
      <c r="M190" s="380">
        <v>0.29166666666666669</v>
      </c>
      <c r="N190" s="380">
        <v>8.3333333333333329E-2</v>
      </c>
      <c r="O190" s="401" t="s">
        <v>288</v>
      </c>
      <c r="P190" s="401" t="s">
        <v>272</v>
      </c>
      <c r="Q190" s="365"/>
      <c r="R190" s="378">
        <f>VLOOKUP(Table2[[#This Row],[Course Title]],'TSD-Data'!$A$1:$E$56,4,FALSE)</f>
        <v>45</v>
      </c>
      <c r="S190" s="378">
        <f>VLOOKUP(Table2[[#This Row],[Course Title]],'TSD-Data'!$A$1:$F$53,6,FALSE)</f>
        <v>16</v>
      </c>
      <c r="T190" s="378">
        <f>VLOOKUP(Table2[[#This Row],[Course Title]],'TSD-Data'!$A$1:$E$56,5,FALSE)</f>
        <v>2</v>
      </c>
      <c r="U190" s="378">
        <v>621</v>
      </c>
      <c r="V190" s="378">
        <f>Table2[[#This Row],[Quotas]]-Table2[[#This Row],[Open Quotas]]</f>
        <v>14</v>
      </c>
      <c r="W190" s="378">
        <v>0</v>
      </c>
      <c r="X190" s="402">
        <v>9</v>
      </c>
      <c r="Y190" s="402">
        <v>3</v>
      </c>
      <c r="Z190" s="374">
        <v>4</v>
      </c>
      <c r="AA190" s="374">
        <v>0</v>
      </c>
      <c r="AB190" s="402">
        <v>0</v>
      </c>
      <c r="AC190" s="378" t="s">
        <v>287</v>
      </c>
      <c r="AD190" s="403">
        <f ca="1">Table2[[#This Row],[End Date]]+2-TODAY()</f>
        <v>-55</v>
      </c>
      <c r="AE190" s="378">
        <f>IF(ISBLANK(Table2[[#This Row],[Received by]]),1,0)</f>
        <v>0</v>
      </c>
      <c r="AF190" s="378">
        <f ca="1">IF(Table2[[#This Row],[Start Date]]&gt;TODAY(),1,)</f>
        <v>0</v>
      </c>
      <c r="AG190" s="378">
        <f>IF(ISBLANK(Table2[[#This Row],[Primary Instructor]]),0,1)</f>
        <v>1</v>
      </c>
      <c r="AH190" s="378">
        <f>IF(ISBLANK(Table2[[#This Row],[Instructor 2]]),0,1)</f>
        <v>1</v>
      </c>
      <c r="AI190" s="378">
        <f>Table2[[#This Row],[Course Length (Hours)]]/(SUM(Table2[[#This Row],[1]:[2]]))</f>
        <v>8</v>
      </c>
      <c r="AJ190" s="378">
        <v>31</v>
      </c>
      <c r="AK190" s="526">
        <v>2</v>
      </c>
    </row>
    <row r="191" spans="1:37" s="373" customFormat="1" x14ac:dyDescent="0.25">
      <c r="A191" s="401" t="s">
        <v>533</v>
      </c>
      <c r="B191" s="411" t="s">
        <v>53</v>
      </c>
      <c r="C191" s="374" t="str">
        <f>VLOOKUP(Table2[[#This Row],[Course Title]],'TSD-Data'!$A$1:$E$56,2,FALSE)</f>
        <v>A-493-0072</v>
      </c>
      <c r="D191" s="374" t="str">
        <f>VLOOKUP(Table2[[#This Row],[Course Title]],'TSD-Data'!$A$1:$E$56,3,FALSE)</f>
        <v>713U</v>
      </c>
      <c r="E191" s="399" t="s">
        <v>217</v>
      </c>
      <c r="F191" s="375">
        <v>45719</v>
      </c>
      <c r="G191" s="375">
        <v>45723</v>
      </c>
      <c r="H191" s="377">
        <v>0.33333333333333331</v>
      </c>
      <c r="I191" s="380"/>
      <c r="J191" s="380"/>
      <c r="K191" s="380"/>
      <c r="L191" s="380"/>
      <c r="M191" s="380"/>
      <c r="N191" s="380"/>
      <c r="O191" s="401" t="s">
        <v>318</v>
      </c>
      <c r="P191" s="401" t="s">
        <v>277</v>
      </c>
      <c r="Q191" s="365"/>
      <c r="R191" s="378">
        <f>VLOOKUP(Table2[[#This Row],[Course Title]],'TSD-Data'!$A$1:$E$56,4,FALSE)</f>
        <v>30</v>
      </c>
      <c r="S191" s="378">
        <f>VLOOKUP(Table2[[#This Row],[Course Title]],'TSD-Data'!$A$1:$F$53,6,FALSE)</f>
        <v>40</v>
      </c>
      <c r="T191" s="378">
        <f>VLOOKUP(Table2[[#This Row],[Course Title]],'TSD-Data'!$A$1:$E$56,5,FALSE)</f>
        <v>5</v>
      </c>
      <c r="U191" s="378">
        <v>30</v>
      </c>
      <c r="V191" s="378">
        <f>Table2[[#This Row],[Quotas]]-Table2[[#This Row],[Open Quotas]]</f>
        <v>0</v>
      </c>
      <c r="W191" s="378">
        <v>0</v>
      </c>
      <c r="X191" s="378">
        <v>16</v>
      </c>
      <c r="Y191" s="403">
        <v>1</v>
      </c>
      <c r="Z191" s="378">
        <v>5</v>
      </c>
      <c r="AA191" s="378">
        <v>1</v>
      </c>
      <c r="AB191" s="378">
        <v>0</v>
      </c>
      <c r="AC191" s="378" t="s">
        <v>281</v>
      </c>
      <c r="AD191" s="403">
        <f ca="1">Table2[[#This Row],[End Date]]+2-TODAY()</f>
        <v>-52</v>
      </c>
      <c r="AE191" s="378">
        <f>IF(ISBLANK(Table2[[#This Row],[Received by]]),1,0)</f>
        <v>0</v>
      </c>
      <c r="AF191" s="378">
        <f ca="1">IF(Table2[[#This Row],[Start Date]]&gt;TODAY(),1,)</f>
        <v>0</v>
      </c>
      <c r="AG191" s="378">
        <f>IF(ISBLANK(Table2[[#This Row],[Primary Instructor]]),0,1)</f>
        <v>1</v>
      </c>
      <c r="AH191" s="378">
        <f>IF(ISBLANK(Table2[[#This Row],[Instructor 2]]),0,1)</f>
        <v>1</v>
      </c>
      <c r="AI191" s="378">
        <f>Table2[[#This Row],[Course Length (Hours)]]/(SUM(Table2[[#This Row],[1]:[2]]))</f>
        <v>20</v>
      </c>
      <c r="AJ191" s="378">
        <v>30</v>
      </c>
      <c r="AK191" s="526">
        <v>2</v>
      </c>
    </row>
    <row r="192" spans="1:37" s="373" customFormat="1" x14ac:dyDescent="0.25">
      <c r="A192" s="374"/>
      <c r="B192" s="411" t="s">
        <v>40</v>
      </c>
      <c r="C192" s="374" t="str">
        <f>VLOOKUP(Table2[[#This Row],[Course Title]],'TSD-Data'!$A$1:$E$56,2,FALSE)</f>
        <v>A-493-2098</v>
      </c>
      <c r="D192" s="374" t="str">
        <f>VLOOKUP(Table2[[#This Row],[Course Title]],'TSD-Data'!$A$1:$E$56,3,FALSE)</f>
        <v>09WW</v>
      </c>
      <c r="E192" s="399" t="s">
        <v>86</v>
      </c>
      <c r="F192" s="391">
        <v>45719</v>
      </c>
      <c r="G192" s="391">
        <v>45720</v>
      </c>
      <c r="H192" s="377"/>
      <c r="I192" s="380">
        <v>0.5</v>
      </c>
      <c r="J192" s="380">
        <v>0.375</v>
      </c>
      <c r="K192" s="380">
        <v>0.83333333333333337</v>
      </c>
      <c r="L192" s="380">
        <v>0.75</v>
      </c>
      <c r="M192" s="380">
        <v>0.29166666666666669</v>
      </c>
      <c r="N192" s="380">
        <v>8.3333333333333329E-2</v>
      </c>
      <c r="O192" s="401" t="s">
        <v>282</v>
      </c>
      <c r="P192" s="401"/>
      <c r="Q192" s="365"/>
      <c r="R192" s="378">
        <f>VLOOKUP(Table2[[#This Row],[Course Title]],'TSD-Data'!$A$1:$E$56,4,FALSE)</f>
        <v>100</v>
      </c>
      <c r="S192" s="378">
        <f>VLOOKUP(Table2[[#This Row],[Course Title]],'TSD-Data'!$A$1:$F$53,6,FALSE)</f>
        <v>16</v>
      </c>
      <c r="T192" s="378">
        <f>VLOOKUP(Table2[[#This Row],[Course Title]],'TSD-Data'!$A$1:$E$56,5,FALSE)</f>
        <v>2</v>
      </c>
      <c r="U192" s="378">
        <v>1432</v>
      </c>
      <c r="V192" s="378">
        <f>Table2[[#This Row],[Quotas]]-Table2[[#This Row],[Open Quotas]]</f>
        <v>99</v>
      </c>
      <c r="W192" s="378">
        <v>0</v>
      </c>
      <c r="X192" s="402">
        <v>82</v>
      </c>
      <c r="Y192" s="402">
        <v>3</v>
      </c>
      <c r="Z192" s="374">
        <v>18</v>
      </c>
      <c r="AA192" s="374">
        <v>3</v>
      </c>
      <c r="AB192" s="402">
        <v>0</v>
      </c>
      <c r="AC192" s="378" t="s">
        <v>287</v>
      </c>
      <c r="AD192" s="403">
        <f ca="1">Table2[[#This Row],[End Date]]+2-TODAY()</f>
        <v>-55</v>
      </c>
      <c r="AE192" s="378">
        <f>IF(ISBLANK(Table2[[#This Row],[Received by]]),1,0)</f>
        <v>0</v>
      </c>
      <c r="AF192" s="378">
        <f ca="1">IF(Table2[[#This Row],[Start Date]]&gt;TODAY(),1,)</f>
        <v>0</v>
      </c>
      <c r="AG192" s="378">
        <f>IF(ISBLANK(Table2[[#This Row],[Primary Instructor]]),0,1)</f>
        <v>1</v>
      </c>
      <c r="AH192" s="378">
        <f>IF(ISBLANK(Table2[[#This Row],[Instructor 2]]),0,1)</f>
        <v>0</v>
      </c>
      <c r="AI192" s="378">
        <f>Table2[[#This Row],[Course Length (Hours)]]/(SUM(Table2[[#This Row],[1]:[2]]))</f>
        <v>16</v>
      </c>
      <c r="AJ192" s="378">
        <v>1</v>
      </c>
      <c r="AK192" s="526">
        <v>2</v>
      </c>
    </row>
    <row r="193" spans="1:37" s="373" customFormat="1" x14ac:dyDescent="0.25">
      <c r="A193" s="367"/>
      <c r="B193" s="411" t="s">
        <v>57</v>
      </c>
      <c r="C193" s="367" t="str">
        <f>VLOOKUP(Table2[[#This Row],[Course Title]],'TSD-Data'!$A$1:$E$56,2,FALSE)</f>
        <v>A-493-0099</v>
      </c>
      <c r="D193" s="367" t="str">
        <f>VLOOKUP(Table2[[#This Row],[Course Title]],'TSD-Data'!$A$1:$E$56,3,FALSE)</f>
        <v>12JW</v>
      </c>
      <c r="E193" s="399" t="s">
        <v>86</v>
      </c>
      <c r="F193" s="391">
        <v>45720</v>
      </c>
      <c r="G193" s="391">
        <v>45722</v>
      </c>
      <c r="H193" s="422"/>
      <c r="I193" s="422">
        <v>0.45833333333333331</v>
      </c>
      <c r="J193" s="422">
        <v>0.33333333333333331</v>
      </c>
      <c r="K193" s="422">
        <v>0.79166666666666663</v>
      </c>
      <c r="L193" s="422">
        <v>0.70833333333333337</v>
      </c>
      <c r="M193" s="422">
        <v>0.25</v>
      </c>
      <c r="N193" s="422">
        <v>4.1666666666666664E-2</v>
      </c>
      <c r="O193" s="389" t="s">
        <v>305</v>
      </c>
      <c r="P193" s="389"/>
      <c r="Q193" s="365"/>
      <c r="R193" s="394">
        <f>VLOOKUP(Table2[[#This Row],[Course Title]],'TSD-Data'!$A$1:$E$56,4,FALSE)</f>
        <v>45</v>
      </c>
      <c r="S193" s="372">
        <f>VLOOKUP(Table2[[#This Row],[Course Title]],'TSD-Data'!$A$1:$F$53,6,FALSE)</f>
        <v>24</v>
      </c>
      <c r="T193" s="372">
        <f>VLOOKUP(Table2[[#This Row],[Course Title]],'TSD-Data'!$A$1:$E$56,5,FALSE)</f>
        <v>3</v>
      </c>
      <c r="U193" s="372">
        <v>718</v>
      </c>
      <c r="V193" s="372">
        <f>Table2[[#This Row],[Quotas]]-Table2[[#This Row],[Open Quotas]]</f>
        <v>33</v>
      </c>
      <c r="W193" s="372">
        <v>0</v>
      </c>
      <c r="X193" s="395">
        <v>30</v>
      </c>
      <c r="Y193" s="395">
        <v>0</v>
      </c>
      <c r="Z193" s="367">
        <v>8</v>
      </c>
      <c r="AA193" s="367">
        <v>0</v>
      </c>
      <c r="AB193" s="395">
        <v>0</v>
      </c>
      <c r="AC193" s="372" t="s">
        <v>291</v>
      </c>
      <c r="AD193" s="394">
        <f ca="1">Table2[[#This Row],[End Date]]+2-TODAY()</f>
        <v>-53</v>
      </c>
      <c r="AE193" s="372">
        <f>IF(ISBLANK(Table2[[#This Row],[Received by]]),1,0)</f>
        <v>0</v>
      </c>
      <c r="AF193" s="372">
        <f ca="1">IF(Table2[[#This Row],[Start Date]]&gt;TODAY(),1,)</f>
        <v>0</v>
      </c>
      <c r="AG193" s="372">
        <f>IF(ISBLANK(Table2[[#This Row],[Primary Instructor]]),0,1)</f>
        <v>1</v>
      </c>
      <c r="AH193" s="372">
        <f>IF(ISBLANK(Table2[[#This Row],[Instructor 2]]),0,1)</f>
        <v>0</v>
      </c>
      <c r="AI193" s="372">
        <f>Table2[[#This Row],[Course Length (Hours)]]/(SUM(Table2[[#This Row],[1]:[2]]))</f>
        <v>24</v>
      </c>
      <c r="AJ193" s="372">
        <v>12</v>
      </c>
      <c r="AK193" s="396">
        <v>2</v>
      </c>
    </row>
    <row r="194" spans="1:37" s="373" customFormat="1" x14ac:dyDescent="0.25">
      <c r="A194" s="389"/>
      <c r="B194" s="411" t="s">
        <v>50</v>
      </c>
      <c r="C194" s="367" t="str">
        <f>VLOOKUP(Table2[[#This Row],[Course Title]],'TSD-Data'!$A$1:$E$56,2,FALSE)</f>
        <v>A-493-0331</v>
      </c>
      <c r="D194" s="367" t="str">
        <f>VLOOKUP(Table2[[#This Row],[Course Title]],'TSD-Data'!$A$1:$E$56,3,FALSE)</f>
        <v>10UG</v>
      </c>
      <c r="E194" s="390" t="s">
        <v>86</v>
      </c>
      <c r="F194" s="397">
        <v>45720</v>
      </c>
      <c r="G194" s="397">
        <v>45722</v>
      </c>
      <c r="H194" s="397"/>
      <c r="I194" s="381">
        <v>0.5</v>
      </c>
      <c r="J194" s="381">
        <v>0.375</v>
      </c>
      <c r="K194" s="381">
        <v>0.83333333333333337</v>
      </c>
      <c r="L194" s="381">
        <v>0.75</v>
      </c>
      <c r="M194" s="381">
        <v>0.29166666666666669</v>
      </c>
      <c r="N194" s="381">
        <v>8.3333333333333329E-2</v>
      </c>
      <c r="O194" s="389" t="s">
        <v>315</v>
      </c>
      <c r="P194" s="389"/>
      <c r="Q194" s="365"/>
      <c r="R194" s="372">
        <f>VLOOKUP(Table2[[#This Row],[Course Title]],'TSD-Data'!$A$1:$E$56,4,FALSE)</f>
        <v>45</v>
      </c>
      <c r="S194" s="372">
        <f>VLOOKUP(Table2[[#This Row],[Course Title]],'TSD-Data'!$A$1:$F$53,6,FALSE)</f>
        <v>24</v>
      </c>
      <c r="T194" s="372">
        <f>VLOOKUP(Table2[[#This Row],[Course Title]],'TSD-Data'!$A$1:$E$56,5,FALSE)</f>
        <v>3</v>
      </c>
      <c r="U194" s="372">
        <v>805</v>
      </c>
      <c r="V194" s="372">
        <f>Table2[[#This Row],[Quotas]]-Table2[[#This Row],[Open Quotas]]</f>
        <v>44</v>
      </c>
      <c r="W194" s="372">
        <v>5</v>
      </c>
      <c r="X194" s="372">
        <v>42</v>
      </c>
      <c r="Y194" s="394">
        <v>0</v>
      </c>
      <c r="Z194" s="372">
        <v>6</v>
      </c>
      <c r="AA194" s="372">
        <v>2</v>
      </c>
      <c r="AB194" s="367">
        <v>0</v>
      </c>
      <c r="AC194" s="372" t="s">
        <v>281</v>
      </c>
      <c r="AD194" s="394">
        <f ca="1">Table2[[#This Row],[End Date]]+2-TODAY()</f>
        <v>-53</v>
      </c>
      <c r="AE194" s="372">
        <f>IF(ISBLANK(Table2[[#This Row],[Received by]]),1,0)</f>
        <v>0</v>
      </c>
      <c r="AF194" s="372">
        <f ca="1">IF(Table2[[#This Row],[Start Date]]&gt;TODAY(),1,)</f>
        <v>0</v>
      </c>
      <c r="AG194" s="372">
        <f>IF(ISBLANK(Table2[[#This Row],[Primary Instructor]]),0,1)</f>
        <v>1</v>
      </c>
      <c r="AH194" s="372">
        <f>IF(ISBLANK(Table2[[#This Row],[Instructor 2]]),0,1)</f>
        <v>0</v>
      </c>
      <c r="AI194" s="372">
        <f>Table2[[#This Row],[Course Length (Hours)]]/(SUM(Table2[[#This Row],[1]:[2]]))</f>
        <v>24</v>
      </c>
      <c r="AJ194" s="372">
        <v>1</v>
      </c>
      <c r="AK194" s="396">
        <v>2</v>
      </c>
    </row>
    <row r="195" spans="1:37" s="373" customFormat="1" x14ac:dyDescent="0.25">
      <c r="A195" s="389"/>
      <c r="B195" s="411" t="s">
        <v>59</v>
      </c>
      <c r="C195" s="367" t="str">
        <f>VLOOKUP(Table2[[#This Row],[Course Title]],'TSD-Data'!$A$1:$E$56,2,FALSE)</f>
        <v>A-493-0550</v>
      </c>
      <c r="D195" s="367" t="str">
        <f>VLOOKUP(Table2[[#This Row],[Course Title]],'TSD-Data'!$A$1:$E$56,3,FALSE)</f>
        <v>09K5</v>
      </c>
      <c r="E195" s="390" t="s">
        <v>86</v>
      </c>
      <c r="F195" s="397">
        <v>45720</v>
      </c>
      <c r="G195" s="397">
        <v>45723</v>
      </c>
      <c r="H195" s="397"/>
      <c r="I195" s="381">
        <v>0.29166666666666669</v>
      </c>
      <c r="J195" s="370">
        <v>0.16666666666666666</v>
      </c>
      <c r="K195" s="370">
        <v>0.625</v>
      </c>
      <c r="L195" s="370">
        <v>0.54166666666666663</v>
      </c>
      <c r="M195" s="370">
        <v>8.3333333333333329E-2</v>
      </c>
      <c r="N195" s="370">
        <v>0.875</v>
      </c>
      <c r="O195" s="389" t="s">
        <v>301</v>
      </c>
      <c r="P195" s="389"/>
      <c r="Q195" s="365"/>
      <c r="R195" s="372">
        <f>VLOOKUP(Table2[[#This Row],[Course Title]],'TSD-Data'!$A$1:$E$56,4,FALSE)</f>
        <v>45</v>
      </c>
      <c r="S195" s="372">
        <f>VLOOKUP(Table2[[#This Row],[Course Title]],'TSD-Data'!$A$1:$F$53,6,FALSE)</f>
        <v>32</v>
      </c>
      <c r="T195" s="372">
        <f>VLOOKUP(Table2[[#This Row],[Course Title]],'TSD-Data'!$A$1:$E$56,5,FALSE)</f>
        <v>4</v>
      </c>
      <c r="U195" s="372">
        <v>380</v>
      </c>
      <c r="V195" s="372">
        <f>Table2[[#This Row],[Quotas]]-Table2[[#This Row],[Open Quotas]]</f>
        <v>45</v>
      </c>
      <c r="W195" s="372">
        <v>0</v>
      </c>
      <c r="X195" s="372">
        <v>37</v>
      </c>
      <c r="Y195" s="394">
        <v>0</v>
      </c>
      <c r="Z195" s="372">
        <v>7</v>
      </c>
      <c r="AA195" s="372">
        <v>0</v>
      </c>
      <c r="AB195" s="367">
        <v>0</v>
      </c>
      <c r="AC195" s="372" t="s">
        <v>291</v>
      </c>
      <c r="AD195" s="394">
        <f ca="1">Table2[[#This Row],[End Date]]+2-TODAY()</f>
        <v>-52</v>
      </c>
      <c r="AE195" s="372">
        <f>IF(ISBLANK(Table2[[#This Row],[Received by]]),1,0)</f>
        <v>0</v>
      </c>
      <c r="AF195" s="372">
        <f ca="1">IF(Table2[[#This Row],[Start Date]]&gt;TODAY(),1,)</f>
        <v>0</v>
      </c>
      <c r="AG195" s="372">
        <f>IF(ISBLANK(Table2[[#This Row],[Primary Instructor]]),0,1)</f>
        <v>1</v>
      </c>
      <c r="AH195" s="372">
        <f>IF(ISBLANK(Table2[[#This Row],[Instructor 2]]),0,1)</f>
        <v>0</v>
      </c>
      <c r="AI195" s="372">
        <f>Table2[[#This Row],[Course Length (Hours)]]/(SUM(Table2[[#This Row],[1]:[2]]))</f>
        <v>32</v>
      </c>
      <c r="AJ195" s="372">
        <v>0</v>
      </c>
      <c r="AK195" s="396">
        <v>2</v>
      </c>
    </row>
    <row r="196" spans="1:37" s="373" customFormat="1" x14ac:dyDescent="0.25">
      <c r="A196" s="389"/>
      <c r="B196" s="411" t="s">
        <v>31</v>
      </c>
      <c r="C196" s="367" t="str">
        <f>VLOOKUP(Table2[[#This Row],[Course Title]],'TSD-Data'!$A$1:$E$56,2,FALSE)</f>
        <v>A-493-0083</v>
      </c>
      <c r="D196" s="367" t="str">
        <f>VLOOKUP(Table2[[#This Row],[Course Title]],'TSD-Data'!$A$1:$E$56,3,FALSE)</f>
        <v>339E</v>
      </c>
      <c r="E196" s="399" t="s">
        <v>172</v>
      </c>
      <c r="F196" s="391">
        <v>45722</v>
      </c>
      <c r="G196" s="391">
        <v>45722</v>
      </c>
      <c r="H196" s="370">
        <v>0.33333333333333331</v>
      </c>
      <c r="I196" s="392"/>
      <c r="J196" s="392"/>
      <c r="K196" s="392"/>
      <c r="L196" s="392"/>
      <c r="M196" s="392"/>
      <c r="N196" s="392"/>
      <c r="O196" s="389" t="s">
        <v>280</v>
      </c>
      <c r="P196" s="389"/>
      <c r="Q196" s="365"/>
      <c r="R196" s="372">
        <f>VLOOKUP(Table2[[#This Row],[Course Title]],'TSD-Data'!$A$1:$E$56,4,FALSE)</f>
        <v>30</v>
      </c>
      <c r="S196" s="372">
        <f>VLOOKUP(Table2[[#This Row],[Course Title]],'TSD-Data'!$A$1:$F$53,6,FALSE)</f>
        <v>8</v>
      </c>
      <c r="T196" s="372">
        <f>VLOOKUP(Table2[[#This Row],[Course Title]],'TSD-Data'!$A$1:$E$56,5,FALSE)</f>
        <v>1</v>
      </c>
      <c r="U196" s="372">
        <v>33</v>
      </c>
      <c r="V196" s="372">
        <f>Table2[[#This Row],[Quotas]]-Table2[[#This Row],[Open Quotas]]</f>
        <v>3</v>
      </c>
      <c r="W196" s="372">
        <v>0</v>
      </c>
      <c r="X196" s="372">
        <v>0</v>
      </c>
      <c r="Y196" s="394">
        <v>0</v>
      </c>
      <c r="Z196" s="372">
        <v>3</v>
      </c>
      <c r="AA196" s="372">
        <v>0</v>
      </c>
      <c r="AB196" s="394">
        <v>0</v>
      </c>
      <c r="AC196" s="372" t="s">
        <v>287</v>
      </c>
      <c r="AD196" s="394">
        <f ca="1">Table2[[#This Row],[End Date]]+2-TODAY()</f>
        <v>-53</v>
      </c>
      <c r="AE196" s="372">
        <f>IF(ISBLANK(Table2[[#This Row],[Received by]]),1,0)</f>
        <v>0</v>
      </c>
      <c r="AF196" s="372">
        <f ca="1">IF(Table2[[#This Row],[Start Date]]&gt;TODAY(),1,)</f>
        <v>0</v>
      </c>
      <c r="AG196" s="372">
        <f>IF(ISBLANK(Table2[[#This Row],[Primary Instructor]]),0,1)</f>
        <v>1</v>
      </c>
      <c r="AH196" s="372">
        <f>IF(ISBLANK(Table2[[#This Row],[Instructor 2]]),0,1)</f>
        <v>0</v>
      </c>
      <c r="AI196" s="372">
        <f>Table2[[#This Row],[Course Length (Hours)]]/(SUM(Table2[[#This Row],[1]:[2]]))</f>
        <v>8</v>
      </c>
      <c r="AJ196" s="372">
        <v>27</v>
      </c>
      <c r="AK196" s="396">
        <v>2</v>
      </c>
    </row>
    <row r="197" spans="1:37" s="373" customFormat="1" x14ac:dyDescent="0.25">
      <c r="A197" s="390"/>
      <c r="B197" s="411" t="s">
        <v>120</v>
      </c>
      <c r="C197" s="367" t="str">
        <f>VLOOKUP(Table2[[#This Row],[Course Title]],'TSD-Data'!$A$1:$E$56,2,FALSE)</f>
        <v>A-322-2604</v>
      </c>
      <c r="D197" s="367" t="str">
        <f>VLOOKUP(Table2[[#This Row],[Course Title]],'TSD-Data'!$A$1:$E$56,3,FALSE)</f>
        <v>10ZZ</v>
      </c>
      <c r="E197" s="390" t="s">
        <v>86</v>
      </c>
      <c r="F197" s="391">
        <v>45726</v>
      </c>
      <c r="G197" s="391">
        <v>45728</v>
      </c>
      <c r="H197" s="397"/>
      <c r="I197" s="381">
        <v>0.5</v>
      </c>
      <c r="J197" s="381">
        <v>0.375</v>
      </c>
      <c r="K197" s="381">
        <v>0.79166666666666663</v>
      </c>
      <c r="L197" s="381">
        <v>0.75</v>
      </c>
      <c r="M197" s="381">
        <v>0.25</v>
      </c>
      <c r="N197" s="381">
        <v>4.1666666666666664E-2</v>
      </c>
      <c r="O197" s="389" t="s">
        <v>288</v>
      </c>
      <c r="P197" s="389"/>
      <c r="Q197" s="365"/>
      <c r="R197" s="372">
        <f>VLOOKUP(Table2[[#This Row],[Course Title]],'TSD-Data'!$A$1:$E$56,4,FALSE)</f>
        <v>45</v>
      </c>
      <c r="S197" s="372">
        <f>VLOOKUP(Table2[[#This Row],[Course Title]],'TSD-Data'!$A$1:$F$53,6,FALSE)</f>
        <v>24</v>
      </c>
      <c r="T197" s="372">
        <f>VLOOKUP(Table2[[#This Row],[Course Title]],'TSD-Data'!$A$1:$E$56,5,FALSE)</f>
        <v>3</v>
      </c>
      <c r="U197" s="372">
        <v>634</v>
      </c>
      <c r="V197" s="372">
        <f>Table2[[#This Row],[Quotas]]-Table2[[#This Row],[Open Quotas]]</f>
        <v>44</v>
      </c>
      <c r="W197" s="372">
        <v>4</v>
      </c>
      <c r="X197" s="372">
        <v>36</v>
      </c>
      <c r="Y197" s="394">
        <v>1</v>
      </c>
      <c r="Z197" s="372">
        <v>9</v>
      </c>
      <c r="AA197" s="372">
        <v>1</v>
      </c>
      <c r="AB197" s="367">
        <v>0</v>
      </c>
      <c r="AC197" s="372" t="s">
        <v>281</v>
      </c>
      <c r="AD197" s="394">
        <f ca="1">Table2[[#This Row],[End Date]]+2-TODAY()</f>
        <v>-47</v>
      </c>
      <c r="AE197" s="372">
        <f>IF(ISBLANK(Table2[[#This Row],[Received by]]),1,0)</f>
        <v>0</v>
      </c>
      <c r="AF197" s="372">
        <f ca="1">IF(Table2[[#This Row],[Start Date]]&gt;TODAY(),1,)</f>
        <v>0</v>
      </c>
      <c r="AG197" s="372">
        <f>IF(ISBLANK(Table2[[#This Row],[Primary Instructor]]),0,1)</f>
        <v>1</v>
      </c>
      <c r="AH197" s="372">
        <f>IF(ISBLANK(Table2[[#This Row],[Instructor 2]]),0,1)</f>
        <v>0</v>
      </c>
      <c r="AI197" s="372">
        <f>Table2[[#This Row],[Course Length (Hours)]]/(SUM(Table2[[#This Row],[1]:[2]]))</f>
        <v>24</v>
      </c>
      <c r="AJ197" s="372">
        <v>1</v>
      </c>
      <c r="AK197" s="396">
        <v>2</v>
      </c>
    </row>
    <row r="198" spans="1:37" s="373" customFormat="1" x14ac:dyDescent="0.25">
      <c r="A198" s="389"/>
      <c r="B198" s="411" t="s">
        <v>32</v>
      </c>
      <c r="C198" s="367" t="str">
        <f>VLOOKUP(Table2[[#This Row],[Course Title]],'TSD-Data'!$A$1:$E$56,2,FALSE)</f>
        <v>A-493-2300</v>
      </c>
      <c r="D198" s="367" t="str">
        <f>VLOOKUP(Table2[[#This Row],[Course Title]],'TSD-Data'!$A$1:$E$56,3,FALSE)</f>
        <v>993F</v>
      </c>
      <c r="E198" s="390" t="s">
        <v>160</v>
      </c>
      <c r="F198" s="391">
        <v>45726</v>
      </c>
      <c r="G198" s="391">
        <v>45727</v>
      </c>
      <c r="H198" s="370">
        <v>0.33333333333333331</v>
      </c>
      <c r="I198" s="392"/>
      <c r="J198" s="392"/>
      <c r="K198" s="392"/>
      <c r="L198" s="392"/>
      <c r="M198" s="392"/>
      <c r="N198" s="392"/>
      <c r="O198" s="389" t="s">
        <v>280</v>
      </c>
      <c r="P198" s="389"/>
      <c r="Q198" s="365"/>
      <c r="R198" s="372">
        <f>VLOOKUP(Table2[[#This Row],[Course Title]],'TSD-Data'!$A$1:$E$56,4,FALSE)</f>
        <v>30</v>
      </c>
      <c r="S198" s="372">
        <f>VLOOKUP(Table2[[#This Row],[Course Title]],'TSD-Data'!$A$1:$F$53,6,FALSE)</f>
        <v>16</v>
      </c>
      <c r="T198" s="372">
        <f>VLOOKUP(Table2[[#This Row],[Course Title]],'TSD-Data'!$A$1:$E$56,5,FALSE)</f>
        <v>2</v>
      </c>
      <c r="U198" s="372">
        <v>27</v>
      </c>
      <c r="V198" s="372">
        <f>Table2[[#This Row],[Quotas]]-Table2[[#This Row],[Open Quotas]]</f>
        <v>30</v>
      </c>
      <c r="W198" s="372">
        <v>0</v>
      </c>
      <c r="X198" s="394">
        <v>21</v>
      </c>
      <c r="Y198" s="394">
        <v>0</v>
      </c>
      <c r="Z198" s="372">
        <v>11</v>
      </c>
      <c r="AA198" s="372">
        <v>3</v>
      </c>
      <c r="AB198" s="367">
        <v>21</v>
      </c>
      <c r="AC198" s="372" t="s">
        <v>287</v>
      </c>
      <c r="AD198" s="394">
        <f ca="1">Table2[[#This Row],[End Date]]+2-TODAY()</f>
        <v>-48</v>
      </c>
      <c r="AE198" s="372">
        <f>IF(ISBLANK(Table2[[#This Row],[Received by]]),1,0)</f>
        <v>0</v>
      </c>
      <c r="AF198" s="372">
        <f ca="1">IF(Table2[[#This Row],[Start Date]]&gt;TODAY(),1,)</f>
        <v>0</v>
      </c>
      <c r="AG198" s="372">
        <f>IF(ISBLANK(Table2[[#This Row],[Primary Instructor]]),0,1)</f>
        <v>1</v>
      </c>
      <c r="AH198" s="372">
        <f>IF(ISBLANK(Table2[[#This Row],[Instructor 2]]),0,1)</f>
        <v>0</v>
      </c>
      <c r="AI198" s="372">
        <f>Table2[[#This Row],[Course Length (Hours)]]/(SUM(Table2[[#This Row],[1]:[2]]))</f>
        <v>16</v>
      </c>
      <c r="AJ198" s="372">
        <v>0</v>
      </c>
      <c r="AK198" s="396">
        <v>2</v>
      </c>
    </row>
    <row r="199" spans="1:37" s="373" customFormat="1" x14ac:dyDescent="0.25">
      <c r="A199" s="389"/>
      <c r="B199" s="411" t="s">
        <v>61</v>
      </c>
      <c r="C199" s="367" t="str">
        <f>VLOOKUP(Table2[[#This Row],[Course Title]],'TSD-Data'!$A$1:$E$56,2,FALSE)</f>
        <v>A-493-0078</v>
      </c>
      <c r="D199" s="367">
        <f>VLOOKUP(Table2[[#This Row],[Course Title]],'TSD-Data'!$A$1:$E$56,3,FALSE)</f>
        <v>1228</v>
      </c>
      <c r="E199" s="390" t="s">
        <v>86</v>
      </c>
      <c r="F199" s="397">
        <v>45726</v>
      </c>
      <c r="G199" s="397">
        <v>45729</v>
      </c>
      <c r="H199" s="370"/>
      <c r="I199" s="370">
        <v>0.29166666666666669</v>
      </c>
      <c r="J199" s="370">
        <v>0.16666666666666666</v>
      </c>
      <c r="K199" s="370">
        <v>0.58333333333333337</v>
      </c>
      <c r="L199" s="370">
        <v>0.5</v>
      </c>
      <c r="M199" s="370">
        <v>4.1666666666666664E-2</v>
      </c>
      <c r="N199" s="370">
        <v>0.83333333333333337</v>
      </c>
      <c r="O199" s="389" t="s">
        <v>304</v>
      </c>
      <c r="P199" s="389"/>
      <c r="Q199" s="365"/>
      <c r="R199" s="372">
        <f>VLOOKUP(Table2[[#This Row],[Course Title]],'TSD-Data'!$A$1:$E$56,4,FALSE)</f>
        <v>45</v>
      </c>
      <c r="S199" s="372">
        <f>VLOOKUP(Table2[[#This Row],[Course Title]],'TSD-Data'!$A$1:$F$53,6,FALSE)</f>
        <v>32</v>
      </c>
      <c r="T199" s="372">
        <f>VLOOKUP(Table2[[#This Row],[Course Title]],'TSD-Data'!$A$1:$E$56,5,FALSE)</f>
        <v>4</v>
      </c>
      <c r="U199" s="372">
        <v>62</v>
      </c>
      <c r="V199" s="372">
        <f>Table2[[#This Row],[Quotas]]-Table2[[#This Row],[Open Quotas]]</f>
        <v>43</v>
      </c>
      <c r="W199" s="372">
        <v>0</v>
      </c>
      <c r="X199" s="372">
        <v>40</v>
      </c>
      <c r="Y199" s="394">
        <v>0</v>
      </c>
      <c r="Z199" s="372">
        <v>5</v>
      </c>
      <c r="AA199" s="372">
        <v>0</v>
      </c>
      <c r="AB199" s="372">
        <v>0</v>
      </c>
      <c r="AC199" s="372" t="s">
        <v>291</v>
      </c>
      <c r="AD199" s="394">
        <f ca="1">Table2[[#This Row],[End Date]]+2-TODAY()</f>
        <v>-46</v>
      </c>
      <c r="AE199" s="372">
        <f>IF(ISBLANK(Table2[[#This Row],[Received by]]),1,0)</f>
        <v>0</v>
      </c>
      <c r="AF199" s="372">
        <f ca="1">IF(Table2[[#This Row],[Start Date]]&gt;TODAY(),1,)</f>
        <v>0</v>
      </c>
      <c r="AG199" s="372">
        <f>IF(ISBLANK(Table2[[#This Row],[Primary Instructor]]),0,1)</f>
        <v>1</v>
      </c>
      <c r="AH199" s="372">
        <f>IF(ISBLANK(Table2[[#This Row],[Instructor 2]]),0,1)</f>
        <v>0</v>
      </c>
      <c r="AI199" s="372">
        <f>Table2[[#This Row],[Course Length (Hours)]]/(SUM(Table2[[#This Row],[1]:[2]]))</f>
        <v>32</v>
      </c>
      <c r="AJ199" s="372">
        <v>2</v>
      </c>
      <c r="AK199" s="396">
        <v>2</v>
      </c>
    </row>
    <row r="200" spans="1:37" s="408" customFormat="1" x14ac:dyDescent="0.25">
      <c r="A200" s="401"/>
      <c r="B200" s="411" t="s">
        <v>52</v>
      </c>
      <c r="C200" s="374" t="str">
        <f>VLOOKUP(Table2[[#This Row],[Course Title]],'TSD-Data'!$A$1:$E$56,2,FALSE)</f>
        <v>A-493-0085</v>
      </c>
      <c r="D200" s="374">
        <f>VLOOKUP(Table2[[#This Row],[Course Title]],'TSD-Data'!$A$1:$E$56,3,FALSE)</f>
        <v>3555</v>
      </c>
      <c r="E200" s="399" t="s">
        <v>86</v>
      </c>
      <c r="F200" s="391">
        <v>45726</v>
      </c>
      <c r="G200" s="391">
        <v>45729</v>
      </c>
      <c r="H200" s="391"/>
      <c r="I200" s="380">
        <v>0.5</v>
      </c>
      <c r="J200" s="380">
        <v>0.375</v>
      </c>
      <c r="K200" s="380">
        <v>0.79166666666666663</v>
      </c>
      <c r="L200" s="380">
        <v>0.75</v>
      </c>
      <c r="M200" s="380">
        <v>0.25</v>
      </c>
      <c r="N200" s="380">
        <v>4.1666666666666664E-2</v>
      </c>
      <c r="O200" s="401" t="s">
        <v>318</v>
      </c>
      <c r="P200" s="401"/>
      <c r="Q200" s="365"/>
      <c r="R200" s="378">
        <f>VLOOKUP(Table2[[#This Row],[Course Title]],'TSD-Data'!$A$1:$E$56,4,FALSE)</f>
        <v>45</v>
      </c>
      <c r="S200" s="378">
        <f>VLOOKUP(Table2[[#This Row],[Course Title]],'TSD-Data'!$A$1:$F$53,6,FALSE)</f>
        <v>32</v>
      </c>
      <c r="T200" s="378">
        <v>4</v>
      </c>
      <c r="U200" s="378">
        <v>503</v>
      </c>
      <c r="V200" s="378">
        <f>Table2[[#This Row],[Quotas]]-Table2[[#This Row],[Open Quotas]]</f>
        <v>13</v>
      </c>
      <c r="W200" s="378">
        <v>0</v>
      </c>
      <c r="X200" s="378">
        <v>12</v>
      </c>
      <c r="Y200" s="403">
        <v>0</v>
      </c>
      <c r="Z200" s="378">
        <v>1</v>
      </c>
      <c r="AA200" s="378">
        <v>0</v>
      </c>
      <c r="AB200" s="378">
        <v>0</v>
      </c>
      <c r="AC200" s="378" t="s">
        <v>281</v>
      </c>
      <c r="AD200" s="403">
        <f ca="1">Table2[[#This Row],[End Date]]+2-TODAY()</f>
        <v>-46</v>
      </c>
      <c r="AE200" s="378">
        <f>IF(ISBLANK(Table2[[#This Row],[Received by]]),1,0)</f>
        <v>0</v>
      </c>
      <c r="AF200" s="378">
        <f ca="1">IF(Table2[[#This Row],[Start Date]]&gt;TODAY(),1,)</f>
        <v>0</v>
      </c>
      <c r="AG200" s="378">
        <f>IF(ISBLANK(Table2[[#This Row],[Primary Instructor]]),0,1)</f>
        <v>1</v>
      </c>
      <c r="AH200" s="378">
        <f>IF(ISBLANK(Table2[[#This Row],[Instructor 2]]),0,1)</f>
        <v>0</v>
      </c>
      <c r="AI200" s="378">
        <f>Table2[[#This Row],[Course Length (Hours)]]/(SUM(Table2[[#This Row],[1]:[2]]))</f>
        <v>32</v>
      </c>
      <c r="AJ200" s="378">
        <v>32</v>
      </c>
      <c r="AK200" s="526">
        <v>2</v>
      </c>
    </row>
    <row r="201" spans="1:37" s="373" customFormat="1" x14ac:dyDescent="0.25">
      <c r="A201" s="389"/>
      <c r="B201" s="411" t="s">
        <v>36</v>
      </c>
      <c r="C201" s="367" t="str">
        <f>VLOOKUP(Table2[[#This Row],[Course Title]],'TSD-Data'!$A$1:$E$56,2,FALSE)</f>
        <v>A-493-2017</v>
      </c>
      <c r="D201" s="374" t="str">
        <f>VLOOKUP(Table2[[#This Row],[Course Title]],'TSD-Data'!$A$1:$E$56,3,FALSE)</f>
        <v>12x3</v>
      </c>
      <c r="E201" s="390" t="s">
        <v>174</v>
      </c>
      <c r="F201" s="397">
        <v>45726</v>
      </c>
      <c r="G201" s="397">
        <v>45730</v>
      </c>
      <c r="H201" s="422">
        <v>0.33333333333333331</v>
      </c>
      <c r="I201" s="423"/>
      <c r="J201" s="423"/>
      <c r="K201" s="423"/>
      <c r="L201" s="423"/>
      <c r="M201" s="423"/>
      <c r="N201" s="423"/>
      <c r="O201" s="389" t="s">
        <v>280</v>
      </c>
      <c r="P201" s="389"/>
      <c r="Q201" s="365"/>
      <c r="R201" s="372">
        <f>VLOOKUP(Table2[[#This Row],[Course Title]],'TSD-Data'!$A$1:$E$56,4,FALSE)</f>
        <v>25</v>
      </c>
      <c r="S201" s="372">
        <f>VLOOKUP(Table2[[#This Row],[Course Title]],'TSD-Data'!$A$1:$F$53,6,FALSE)</f>
        <v>40</v>
      </c>
      <c r="T201" s="378">
        <f>VLOOKUP(Table2[[#This Row],[Course Title]],'TSD-Data'!$A$1:$E$56,5,FALSE)</f>
        <v>5</v>
      </c>
      <c r="U201" s="372">
        <v>1</v>
      </c>
      <c r="V201" s="372">
        <f>Table2[[#This Row],[Quotas]]-Table2[[#This Row],[Open Quotas]]</f>
        <v>9</v>
      </c>
      <c r="W201" s="372">
        <v>0</v>
      </c>
      <c r="X201" s="372">
        <v>6</v>
      </c>
      <c r="Y201" s="394">
        <v>0</v>
      </c>
      <c r="Z201" s="372">
        <v>5</v>
      </c>
      <c r="AA201" s="372">
        <v>0</v>
      </c>
      <c r="AB201" s="372">
        <v>0</v>
      </c>
      <c r="AC201" s="378" t="s">
        <v>287</v>
      </c>
      <c r="AD201" s="394">
        <f ca="1">Table2[[#This Row],[End Date]]+2-TODAY()</f>
        <v>-45</v>
      </c>
      <c r="AE201" s="372">
        <f>IF(ISBLANK(Table2[[#This Row],[Received by]]),1,0)</f>
        <v>0</v>
      </c>
      <c r="AF201" s="372">
        <f ca="1">IF(Table2[[#This Row],[Start Date]]&gt;TODAY(),1,)</f>
        <v>0</v>
      </c>
      <c r="AG201" s="372">
        <f>IF(ISBLANK(Table2[[#This Row],[Primary Instructor]]),0,1)</f>
        <v>1</v>
      </c>
      <c r="AH201" s="372">
        <f>IF(ISBLANK(Table2[[#This Row],[Instructor 2]]),0,1)</f>
        <v>0</v>
      </c>
      <c r="AI201" s="372">
        <f>Table2[[#This Row],[Course Length (Hours)]]/(SUM(Table2[[#This Row],[1]:[2]]))</f>
        <v>40</v>
      </c>
      <c r="AJ201" s="372">
        <v>16</v>
      </c>
      <c r="AK201" s="396">
        <v>2</v>
      </c>
    </row>
    <row r="202" spans="1:37" s="373" customFormat="1" x14ac:dyDescent="0.25">
      <c r="A202" s="389"/>
      <c r="B202" s="411" t="s">
        <v>33</v>
      </c>
      <c r="C202" s="367" t="str">
        <f>VLOOKUP(Table2[[#This Row],[Course Title]],'TSD-Data'!$A$1:$E$56,2,FALSE)</f>
        <v>A-493-2301</v>
      </c>
      <c r="D202" s="367" t="str">
        <f>VLOOKUP(Table2[[#This Row],[Course Title]],'TSD-Data'!$A$1:$E$56,3,FALSE)</f>
        <v>05ZD</v>
      </c>
      <c r="E202" s="399" t="s">
        <v>160</v>
      </c>
      <c r="F202" s="368">
        <v>45728</v>
      </c>
      <c r="G202" s="397">
        <v>45728</v>
      </c>
      <c r="H202" s="370">
        <v>0.33333333333333331</v>
      </c>
      <c r="I202" s="392"/>
      <c r="J202" s="392"/>
      <c r="K202" s="392"/>
      <c r="L202" s="392"/>
      <c r="M202" s="392"/>
      <c r="N202" s="392"/>
      <c r="O202" s="389" t="s">
        <v>280</v>
      </c>
      <c r="P202" s="389"/>
      <c r="Q202" s="365"/>
      <c r="R202" s="372">
        <f>VLOOKUP(Table2[[#This Row],[Course Title]],'TSD-Data'!$A$1:$E$56,4,FALSE)</f>
        <v>30</v>
      </c>
      <c r="S202" s="372">
        <f>VLOOKUP(Table2[[#This Row],[Course Title]],'TSD-Data'!$A$1:$F$53,6,FALSE)</f>
        <v>8</v>
      </c>
      <c r="T202" s="372">
        <f>VLOOKUP(Table2[[#This Row],[Course Title]],'TSD-Data'!$A$1:$E$56,5,FALSE)</f>
        <v>1</v>
      </c>
      <c r="U202" s="372">
        <v>28</v>
      </c>
      <c r="V202" s="372">
        <f>Table2[[#This Row],[Quotas]]-Table2[[#This Row],[Open Quotas]]</f>
        <v>0</v>
      </c>
      <c r="W202" s="372">
        <v>0</v>
      </c>
      <c r="X202" s="372">
        <v>0</v>
      </c>
      <c r="Y202" s="394">
        <v>0</v>
      </c>
      <c r="Z202" s="372">
        <v>0</v>
      </c>
      <c r="AA202" s="372">
        <v>0</v>
      </c>
      <c r="AB202" s="372">
        <v>0</v>
      </c>
      <c r="AC202" s="372" t="s">
        <v>287</v>
      </c>
      <c r="AD202" s="394">
        <f ca="1">Table2[[#This Row],[End Date]]+2-TODAY()</f>
        <v>-47</v>
      </c>
      <c r="AE202" s="372">
        <f>IF(ISBLANK(Table2[[#This Row],[Received by]]),1,0)</f>
        <v>0</v>
      </c>
      <c r="AF202" s="372">
        <f ca="1">IF(Table2[[#This Row],[Start Date]]&gt;TODAY(),1,)</f>
        <v>0</v>
      </c>
      <c r="AG202" s="372">
        <f>IF(ISBLANK(Table2[[#This Row],[Primary Instructor]]),0,1)</f>
        <v>1</v>
      </c>
      <c r="AH202" s="372">
        <f>IF(ISBLANK(Table2[[#This Row],[Instructor 2]]),0,1)</f>
        <v>0</v>
      </c>
      <c r="AI202" s="372">
        <f>Table2[[#This Row],[Course Length (Hours)]]/(SUM(Table2[[#This Row],[1]:[2]]))</f>
        <v>8</v>
      </c>
      <c r="AJ202" s="372">
        <v>30</v>
      </c>
      <c r="AK202" s="396">
        <v>2</v>
      </c>
    </row>
    <row r="203" spans="1:37" s="373" customFormat="1" x14ac:dyDescent="0.25">
      <c r="A203" s="429"/>
      <c r="B203" s="435" t="s">
        <v>49</v>
      </c>
      <c r="C203" s="367" t="str">
        <f>VLOOKUP(Table2[[#This Row],[Course Title]],'TSD-Data'!$A$1:$E$56,2,FALSE)</f>
        <v>A-493-0092</v>
      </c>
      <c r="D203" s="367">
        <f>VLOOKUP(Table2[[#This Row],[Course Title]],'TSD-Data'!$A$1:$E$56,3,FALSE)</f>
        <v>5891</v>
      </c>
      <c r="E203" s="390" t="s">
        <v>212</v>
      </c>
      <c r="F203" s="368">
        <v>45728</v>
      </c>
      <c r="G203" s="368">
        <v>45730</v>
      </c>
      <c r="H203" s="370">
        <v>0.33333333333333331</v>
      </c>
      <c r="I203" s="398"/>
      <c r="J203" s="398"/>
      <c r="K203" s="398"/>
      <c r="L203" s="398"/>
      <c r="M203" s="398"/>
      <c r="N203" s="398"/>
      <c r="O203" s="389" t="s">
        <v>316</v>
      </c>
      <c r="P203" s="389"/>
      <c r="Q203" s="365"/>
      <c r="R203" s="372">
        <f>VLOOKUP(Table2[[#This Row],[Course Title]],'TSD-Data'!$A$1:$E$56,4,FALSE)</f>
        <v>25</v>
      </c>
      <c r="S203" s="372">
        <f>VLOOKUP(Table2[[#This Row],[Course Title]],'TSD-Data'!$A$1:$F$53,6,FALSE)</f>
        <v>24</v>
      </c>
      <c r="T203" s="372">
        <f>VLOOKUP(Table2[[#This Row],[Course Title]],'TSD-Data'!$A$1:$E$56,5,FALSE)</f>
        <v>3</v>
      </c>
      <c r="U203" s="372">
        <v>102</v>
      </c>
      <c r="V203" s="372">
        <f>Table2[[#This Row],[Quotas]]-Table2[[#This Row],[Open Quotas]]</f>
        <v>8</v>
      </c>
      <c r="W203" s="372">
        <v>0</v>
      </c>
      <c r="X203" s="372">
        <v>4</v>
      </c>
      <c r="Y203" s="394">
        <v>0</v>
      </c>
      <c r="Z203" s="372">
        <v>5</v>
      </c>
      <c r="AA203" s="372">
        <v>0</v>
      </c>
      <c r="AB203" s="372">
        <v>0</v>
      </c>
      <c r="AC203" s="372" t="s">
        <v>281</v>
      </c>
      <c r="AD203" s="394">
        <f ca="1">Table2[[#This Row],[End Date]]+2-TODAY()</f>
        <v>-45</v>
      </c>
      <c r="AE203" s="372">
        <f>IF(ISBLANK(Table2[[#This Row],[Received by]]),1,0)</f>
        <v>0</v>
      </c>
      <c r="AF203" s="372">
        <f ca="1">IF(Table2[[#This Row],[Start Date]]&gt;TODAY(),1,)</f>
        <v>0</v>
      </c>
      <c r="AG203" s="372">
        <f>IF(ISBLANK(Table2[[#This Row],[Primary Instructor]]),0,1)</f>
        <v>1</v>
      </c>
      <c r="AH203" s="372">
        <f>IF(ISBLANK(Table2[[#This Row],[Instructor 2]]),0,1)</f>
        <v>0</v>
      </c>
      <c r="AI203" s="372">
        <f>Table2[[#This Row],[Course Length (Hours)]]/(SUM(Table2[[#This Row],[1]:[2]]))</f>
        <v>24</v>
      </c>
      <c r="AJ203" s="372">
        <v>17</v>
      </c>
      <c r="AK203" s="396">
        <v>2</v>
      </c>
    </row>
    <row r="204" spans="1:37" s="373" customFormat="1" x14ac:dyDescent="0.25">
      <c r="A204" s="389"/>
      <c r="B204" s="435" t="s">
        <v>34</v>
      </c>
      <c r="C204" s="367" t="str">
        <f>VLOOKUP(Table2[[#This Row],[Course Title]],'TSD-Data'!$A$1:$E$56,2,FALSE)</f>
        <v>A-493-0216</v>
      </c>
      <c r="D204" s="367" t="str">
        <f>VLOOKUP(Table2[[#This Row],[Course Title]],'TSD-Data'!$A$1:$E$56,3,FALSE)</f>
        <v>12X8</v>
      </c>
      <c r="E204" s="399" t="s">
        <v>160</v>
      </c>
      <c r="F204" s="397">
        <v>45729</v>
      </c>
      <c r="G204" s="397">
        <v>45729</v>
      </c>
      <c r="H204" s="370">
        <v>0.33333333333333331</v>
      </c>
      <c r="I204" s="392"/>
      <c r="J204" s="392"/>
      <c r="K204" s="392"/>
      <c r="L204" s="392"/>
      <c r="M204" s="392"/>
      <c r="N204" s="392"/>
      <c r="O204" s="389" t="s">
        <v>280</v>
      </c>
      <c r="P204" s="389"/>
      <c r="Q204" s="365"/>
      <c r="R204" s="372">
        <f>VLOOKUP(Table2[[#This Row],[Course Title]],'TSD-Data'!$A$1:$E$56,4,FALSE)</f>
        <v>30</v>
      </c>
      <c r="S204" s="372">
        <f>VLOOKUP(Table2[[#This Row],[Course Title]],'TSD-Data'!$A$1:$F$53,6,FALSE)</f>
        <v>8</v>
      </c>
      <c r="T204" s="372">
        <f>VLOOKUP(Table2[[#This Row],[Course Title]],'TSD-Data'!$A$1:$E$56,5,FALSE)</f>
        <v>1</v>
      </c>
      <c r="U204" s="372">
        <v>20</v>
      </c>
      <c r="V204" s="372">
        <f>Table2[[#This Row],[Quotas]]-Table2[[#This Row],[Open Quotas]]</f>
        <v>30</v>
      </c>
      <c r="W204" s="372">
        <v>0</v>
      </c>
      <c r="X204" s="372">
        <v>19</v>
      </c>
      <c r="Y204" s="394">
        <v>0</v>
      </c>
      <c r="Z204" s="372">
        <v>13</v>
      </c>
      <c r="AA204" s="372">
        <v>2</v>
      </c>
      <c r="AB204" s="372">
        <v>0</v>
      </c>
      <c r="AC204" s="372" t="s">
        <v>287</v>
      </c>
      <c r="AD204" s="394">
        <f ca="1">Table2[[#This Row],[End Date]]+2-TODAY()</f>
        <v>-46</v>
      </c>
      <c r="AE204" s="372">
        <f>IF(ISBLANK(Table2[[#This Row],[Received by]]),1,0)</f>
        <v>0</v>
      </c>
      <c r="AF204" s="372">
        <f ca="1">IF(Table2[[#This Row],[Start Date]]&gt;TODAY(),1,)</f>
        <v>0</v>
      </c>
      <c r="AG204" s="372">
        <f>IF(ISBLANK(Table2[[#This Row],[Primary Instructor]]),0,1)</f>
        <v>1</v>
      </c>
      <c r="AH204" s="372">
        <f>IF(ISBLANK(Table2[[#This Row],[Instructor 2]]),0,1)</f>
        <v>0</v>
      </c>
      <c r="AI204" s="372">
        <f>Table2[[#This Row],[Course Length (Hours)]]/(SUM(Table2[[#This Row],[1]:[2]]))</f>
        <v>8</v>
      </c>
      <c r="AJ204" s="372">
        <v>0</v>
      </c>
      <c r="AK204" s="396">
        <v>2</v>
      </c>
    </row>
    <row r="205" spans="1:37" s="373" customFormat="1" x14ac:dyDescent="0.25">
      <c r="A205" s="401"/>
      <c r="B205" s="435" t="s">
        <v>35</v>
      </c>
      <c r="C205" s="374" t="str">
        <f>VLOOKUP(Table2[[#This Row],[Course Title]],'TSD-Data'!$A$1:$E$56,2,FALSE)</f>
        <v>A-493-2501</v>
      </c>
      <c r="D205" s="374" t="str">
        <f>VLOOKUP(Table2[[#This Row],[Course Title]],'TSD-Data'!$A$1:$E$56,3,FALSE)</f>
        <v>05ZE</v>
      </c>
      <c r="E205" s="399" t="s">
        <v>160</v>
      </c>
      <c r="F205" s="391">
        <v>45730</v>
      </c>
      <c r="G205" s="391">
        <v>45730</v>
      </c>
      <c r="H205" s="377">
        <v>0.33333333333333331</v>
      </c>
      <c r="I205" s="412"/>
      <c r="J205" s="412"/>
      <c r="K205" s="412"/>
      <c r="L205" s="412"/>
      <c r="M205" s="412"/>
      <c r="N205" s="412"/>
      <c r="O205" s="401" t="s">
        <v>280</v>
      </c>
      <c r="P205" s="401"/>
      <c r="Q205" s="365"/>
      <c r="R205" s="378">
        <f>VLOOKUP(Table2[[#This Row],[Course Title]],'TSD-Data'!$A$1:$E$56,4,FALSE)</f>
        <v>30</v>
      </c>
      <c r="S205" s="378">
        <f>VLOOKUP(Table2[[#This Row],[Course Title]],'TSD-Data'!$A$1:$F$53,6,FALSE)</f>
        <v>8</v>
      </c>
      <c r="T205" s="378">
        <f>VLOOKUP(Table2[[#This Row],[Course Title]],'TSD-Data'!$A$1:$E$56,5,FALSE)</f>
        <v>1</v>
      </c>
      <c r="U205" s="378">
        <v>23</v>
      </c>
      <c r="V205" s="378">
        <f>Table2[[#This Row],[Quotas]]-Table2[[#This Row],[Open Quotas]]</f>
        <v>20</v>
      </c>
      <c r="W205" s="378">
        <v>0</v>
      </c>
      <c r="X205" s="378">
        <v>15</v>
      </c>
      <c r="Y205" s="403">
        <v>0</v>
      </c>
      <c r="Z205" s="378">
        <v>11</v>
      </c>
      <c r="AA205" s="378">
        <v>7</v>
      </c>
      <c r="AB205" s="378">
        <v>15</v>
      </c>
      <c r="AC205" s="378" t="s">
        <v>287</v>
      </c>
      <c r="AD205" s="403">
        <f ca="1">Table2[[#This Row],[End Date]]+2-TODAY()</f>
        <v>-45</v>
      </c>
      <c r="AE205" s="378">
        <f>IF(ISBLANK(Table2[[#This Row],[Received by]]),1,0)</f>
        <v>0</v>
      </c>
      <c r="AF205" s="378">
        <f ca="1">IF(Table2[[#This Row],[Start Date]]&gt;TODAY(),1,)</f>
        <v>0</v>
      </c>
      <c r="AG205" s="378">
        <f>IF(ISBLANK(Table2[[#This Row],[Primary Instructor]]),0,1)</f>
        <v>1</v>
      </c>
      <c r="AH205" s="378">
        <f>IF(ISBLANK(Table2[[#This Row],[Instructor 2]]),0,1)</f>
        <v>0</v>
      </c>
      <c r="AI205" s="378">
        <f>Table2[[#This Row],[Course Length (Hours)]]/(SUM(Table2[[#This Row],[1]:[2]]))</f>
        <v>8</v>
      </c>
      <c r="AJ205" s="378">
        <v>10</v>
      </c>
      <c r="AK205" s="526">
        <v>2</v>
      </c>
    </row>
    <row r="206" spans="1:37" s="373" customFormat="1" x14ac:dyDescent="0.25">
      <c r="A206" s="429"/>
      <c r="B206" s="435" t="s">
        <v>55</v>
      </c>
      <c r="C206" s="367" t="str">
        <f>VLOOKUP(Table2[[#This Row],[Course Title]],'TSD-Data'!$A$1:$E$56,2,FALSE)</f>
        <v>A-493-0103</v>
      </c>
      <c r="D206" s="367" t="str">
        <f>VLOOKUP(Table2[[#This Row],[Course Title]],'TSD-Data'!$A$1:$E$56,3,FALSE)</f>
        <v>12JY</v>
      </c>
      <c r="E206" s="390" t="s">
        <v>212</v>
      </c>
      <c r="F206" s="391">
        <v>45733</v>
      </c>
      <c r="G206" s="391">
        <v>45737</v>
      </c>
      <c r="H206" s="422">
        <v>0.33333333333333331</v>
      </c>
      <c r="I206" s="423"/>
      <c r="J206" s="442"/>
      <c r="K206" s="424"/>
      <c r="L206" s="424"/>
      <c r="M206" s="424"/>
      <c r="N206" s="424"/>
      <c r="O206" s="389" t="s">
        <v>314</v>
      </c>
      <c r="P206" s="389"/>
      <c r="Q206" s="365"/>
      <c r="R206" s="372">
        <f>VLOOKUP(Table2[[#This Row],[Course Title]],'TSD-Data'!$A$1:$E$56,4,FALSE)</f>
        <v>25</v>
      </c>
      <c r="S206" s="372">
        <f>VLOOKUP(Table2[[#This Row],[Course Title]],'TSD-Data'!$A$1:$F$53,6,FALSE)</f>
        <v>40</v>
      </c>
      <c r="T206" s="372">
        <f>VLOOKUP(Table2[[#This Row],[Course Title]],'TSD-Data'!$A$1:$E$56,5,FALSE)</f>
        <v>5</v>
      </c>
      <c r="U206" s="372">
        <v>248</v>
      </c>
      <c r="V206" s="372">
        <f>Table2[[#This Row],[Quotas]]-Table2[[#This Row],[Open Quotas]]</f>
        <v>19</v>
      </c>
      <c r="W206" s="372">
        <v>0</v>
      </c>
      <c r="X206" s="372">
        <v>17</v>
      </c>
      <c r="Y206" s="394">
        <v>0</v>
      </c>
      <c r="Z206" s="372">
        <v>3</v>
      </c>
      <c r="AA206" s="372">
        <v>0</v>
      </c>
      <c r="AB206" s="372">
        <v>0</v>
      </c>
      <c r="AC206" s="372" t="s">
        <v>291</v>
      </c>
      <c r="AD206" s="394">
        <f ca="1">Table2[[#This Row],[End Date]]+2-TODAY()</f>
        <v>-38</v>
      </c>
      <c r="AE206" s="372">
        <f>IF(ISBLANK(Table2[[#This Row],[Received by]]),1,0)</f>
        <v>0</v>
      </c>
      <c r="AF206" s="372">
        <f ca="1">IF(Table2[[#This Row],[Start Date]]&gt;TODAY(),1,)</f>
        <v>0</v>
      </c>
      <c r="AG206" s="372">
        <f>IF(ISBLANK(Table2[[#This Row],[Primary Instructor]]),0,1)</f>
        <v>1</v>
      </c>
      <c r="AH206" s="372">
        <f>IF(ISBLANK(Table2[[#This Row],[Instructor 2]]),0,1)</f>
        <v>0</v>
      </c>
      <c r="AI206" s="372">
        <f>Table2[[#This Row],[Course Length (Hours)]]/(SUM(Table2[[#This Row],[1]:[2]]))</f>
        <v>40</v>
      </c>
      <c r="AJ206" s="372">
        <v>6</v>
      </c>
      <c r="AK206" s="396">
        <v>2</v>
      </c>
    </row>
    <row r="207" spans="1:37" s="408" customFormat="1" x14ac:dyDescent="0.25">
      <c r="A207" s="429"/>
      <c r="B207" s="435" t="s">
        <v>55</v>
      </c>
      <c r="C207" s="367" t="str">
        <f>VLOOKUP(Table2[[#This Row],[Course Title]],'TSD-Data'!$A$1:$E$56,2,FALSE)</f>
        <v>A-493-0103</v>
      </c>
      <c r="D207" s="367" t="s">
        <v>105</v>
      </c>
      <c r="E207" s="390" t="s">
        <v>170</v>
      </c>
      <c r="F207" s="391">
        <v>45733</v>
      </c>
      <c r="G207" s="391">
        <v>45737</v>
      </c>
      <c r="H207" s="370">
        <v>0.33333333333333331</v>
      </c>
      <c r="I207" s="370"/>
      <c r="J207" s="391"/>
      <c r="K207" s="397"/>
      <c r="L207" s="397"/>
      <c r="M207" s="397"/>
      <c r="N207" s="397"/>
      <c r="O207" s="389" t="s">
        <v>314</v>
      </c>
      <c r="P207" s="389"/>
      <c r="Q207" s="389"/>
      <c r="R207" s="372">
        <f>VLOOKUP(Table2[[#This Row],[Course Title]],'TSD-Data'!$A$1:$E$56,4,FALSE)</f>
        <v>25</v>
      </c>
      <c r="S207" s="372">
        <f>VLOOKUP(Table2[[#This Row],[Course Title]],'TSD-Data'!$A$1:$F$53,6,FALSE)</f>
        <v>40</v>
      </c>
      <c r="T207" s="395">
        <v>5</v>
      </c>
      <c r="U207" s="372">
        <v>125</v>
      </c>
      <c r="V207" s="372">
        <f>Table2[[#This Row],[Quotas]]-Table2[[#This Row],[Open Quotas]]</f>
        <v>16</v>
      </c>
      <c r="W207" s="372">
        <v>0</v>
      </c>
      <c r="X207" s="394">
        <v>12</v>
      </c>
      <c r="Y207" s="394">
        <v>1</v>
      </c>
      <c r="Z207" s="372">
        <v>3</v>
      </c>
      <c r="AA207" s="372">
        <v>0</v>
      </c>
      <c r="AB207" s="372">
        <v>0</v>
      </c>
      <c r="AC207" s="372" t="s">
        <v>291</v>
      </c>
      <c r="AD207" s="394">
        <f ca="1">Table2[[#This Row],[End Date]]+2-TODAY()</f>
        <v>-38</v>
      </c>
      <c r="AE207" s="372">
        <f>IF(ISBLANK(Table2[[#This Row],[Received by]]),1,0)</f>
        <v>0</v>
      </c>
      <c r="AF207" s="372">
        <f ca="1">IF(Table2[[#This Row],[Start Date]]&gt;TODAY(),1,)</f>
        <v>0</v>
      </c>
      <c r="AG207" s="372">
        <f>IF(ISBLANK(Table2[[#This Row],[Primary Instructor]]),0,1)</f>
        <v>1</v>
      </c>
      <c r="AH207" s="372">
        <f>IF(ISBLANK(Table2[[#This Row],[Instructor 2]]),0,1)</f>
        <v>0</v>
      </c>
      <c r="AI207" s="372">
        <f>Table2[[#This Row],[Course Length (Hours)]]/(SUM(Table2[[#This Row],[1]:[2]]))</f>
        <v>40</v>
      </c>
      <c r="AJ207" s="372">
        <v>9</v>
      </c>
      <c r="AK207" s="372">
        <v>2</v>
      </c>
    </row>
    <row r="208" spans="1:37" s="408" customFormat="1" x14ac:dyDescent="0.25">
      <c r="A208" s="429"/>
      <c r="B208" s="435" t="s">
        <v>17</v>
      </c>
      <c r="C208" s="367" t="str">
        <f>VLOOKUP(Table2[[#This Row],[Course Title]],'TSD-Data'!$A$1:$E$56,2,FALSE)</f>
        <v>A-493-0012</v>
      </c>
      <c r="D208" s="367">
        <f>VLOOKUP(Table2[[#This Row],[Course Title]],'TSD-Data'!$A$1:$E$56,3,FALSE)</f>
        <v>3682</v>
      </c>
      <c r="E208" s="390" t="s">
        <v>192</v>
      </c>
      <c r="F208" s="368">
        <v>45733</v>
      </c>
      <c r="G208" s="397">
        <v>45737</v>
      </c>
      <c r="H208" s="370">
        <v>0.33333333333333331</v>
      </c>
      <c r="I208" s="392"/>
      <c r="J208" s="392"/>
      <c r="K208" s="392"/>
      <c r="L208" s="392"/>
      <c r="M208" s="392"/>
      <c r="N208" s="412"/>
      <c r="O208" s="429" t="s">
        <v>289</v>
      </c>
      <c r="P208" s="389"/>
      <c r="Q208" s="365"/>
      <c r="R208" s="372">
        <f>VLOOKUP(Table2[[#This Row],[Course Title]],'TSD-Data'!$A$1:$E$56,4,FALSE)</f>
        <v>40</v>
      </c>
      <c r="S208" s="372">
        <f>VLOOKUP(Table2[[#This Row],[Course Title]],'TSD-Data'!$A$1:$F$53,6,FALSE)</f>
        <v>40</v>
      </c>
      <c r="T208" s="372">
        <f>VLOOKUP(Table2[[#This Row],[Course Title]],'TSD-Data'!$A$1:$E$56,5,FALSE)</f>
        <v>5</v>
      </c>
      <c r="U208" s="372">
        <v>40</v>
      </c>
      <c r="V208" s="372">
        <f>Table2[[#This Row],[Quotas]]-Table2[[#This Row],[Open Quotas]]</f>
        <v>30</v>
      </c>
      <c r="W208" s="372">
        <v>0</v>
      </c>
      <c r="X208" s="372">
        <v>16</v>
      </c>
      <c r="Y208" s="394">
        <v>0</v>
      </c>
      <c r="Z208" s="372">
        <v>13</v>
      </c>
      <c r="AA208" s="372">
        <v>0</v>
      </c>
      <c r="AB208" s="367">
        <v>0</v>
      </c>
      <c r="AC208" s="372" t="s">
        <v>287</v>
      </c>
      <c r="AD208" s="394">
        <f ca="1">Table2[[#This Row],[End Date]]+2-TODAY()</f>
        <v>-38</v>
      </c>
      <c r="AE208" s="372">
        <f>IF(ISBLANK(Table2[[#This Row],[Received by]]),1,0)</f>
        <v>0</v>
      </c>
      <c r="AF208" s="372">
        <f ca="1">IF(Table2[[#This Row],[Start Date]]&gt;TODAY(),1,)</f>
        <v>0</v>
      </c>
      <c r="AG208" s="372">
        <f>IF(ISBLANK(Table2[[#This Row],[Primary Instructor]]),0,1)</f>
        <v>1</v>
      </c>
      <c r="AH208" s="372">
        <f>IF(ISBLANK(Table2[[#This Row],[Instructor 2]]),0,1)</f>
        <v>0</v>
      </c>
      <c r="AI208" s="372">
        <f>Table2[[#This Row],[Course Length (Hours)]]/(SUM(Table2[[#This Row],[1]:[2]]))</f>
        <v>40</v>
      </c>
      <c r="AJ208" s="372">
        <v>10</v>
      </c>
      <c r="AK208" s="396">
        <v>2</v>
      </c>
    </row>
    <row r="209" spans="1:37" s="373" customFormat="1" x14ac:dyDescent="0.25">
      <c r="A209" s="429"/>
      <c r="B209" s="435" t="s">
        <v>38</v>
      </c>
      <c r="C209" s="367" t="str">
        <f>VLOOKUP(Table2[[#This Row],[Course Title]],'TSD-Data'!$A$1:$E$56,2,FALSE)</f>
        <v>A-493-0061</v>
      </c>
      <c r="D209" s="367" t="str">
        <f>VLOOKUP(Table2[[#This Row],[Course Title]],'TSD-Data'!$A$1:$E$56,3,FALSE)</f>
        <v>288E</v>
      </c>
      <c r="E209" s="390" t="s">
        <v>86</v>
      </c>
      <c r="F209" s="416">
        <v>45733</v>
      </c>
      <c r="G209" s="416">
        <v>45736</v>
      </c>
      <c r="H209" s="422"/>
      <c r="I209" s="422">
        <v>0.29166666666666669</v>
      </c>
      <c r="J209" s="422">
        <v>0.16666666666666666</v>
      </c>
      <c r="K209" s="422">
        <v>0.58333333333333337</v>
      </c>
      <c r="L209" s="422">
        <v>0.5</v>
      </c>
      <c r="M209" s="422">
        <v>4.1666666666666664E-2</v>
      </c>
      <c r="N209" s="422">
        <v>0.83333333333333337</v>
      </c>
      <c r="O209" s="389" t="s">
        <v>303</v>
      </c>
      <c r="P209" s="389"/>
      <c r="Q209" s="365"/>
      <c r="R209" s="394">
        <f>VLOOKUP(Table2[[#This Row],[Course Title]],'TSD-Data'!$A$1:$E$56,4,FALSE)</f>
        <v>45</v>
      </c>
      <c r="S209" s="372">
        <f>VLOOKUP(Table2[[#This Row],[Course Title]],'TSD-Data'!$A$1:$F$53,6,FALSE)</f>
        <v>30</v>
      </c>
      <c r="T209" s="372">
        <f>VLOOKUP(Table2[[#This Row],[Course Title]],'TSD-Data'!$A$1:$E$56,5,FALSE)</f>
        <v>4</v>
      </c>
      <c r="U209" s="372">
        <v>59</v>
      </c>
      <c r="V209" s="372">
        <f>Table2[[#This Row],[Quotas]]-Table2[[#This Row],[Open Quotas]]</f>
        <v>21</v>
      </c>
      <c r="W209" s="372">
        <v>0</v>
      </c>
      <c r="X209" s="394">
        <v>16</v>
      </c>
      <c r="Y209" s="394">
        <v>0</v>
      </c>
      <c r="Z209" s="372">
        <v>5</v>
      </c>
      <c r="AA209" s="372">
        <v>0</v>
      </c>
      <c r="AB209" s="372">
        <v>0</v>
      </c>
      <c r="AC209" s="372" t="s">
        <v>291</v>
      </c>
      <c r="AD209" s="394">
        <f ca="1">Table2[[#This Row],[End Date]]+2-TODAY()</f>
        <v>-39</v>
      </c>
      <c r="AE209" s="372">
        <f>IF(ISBLANK(Table2[[#This Row],[Received by]]),1,0)</f>
        <v>0</v>
      </c>
      <c r="AF209" s="372">
        <f ca="1">IF(Table2[[#This Row],[Start Date]]&gt;TODAY(),1,)</f>
        <v>0</v>
      </c>
      <c r="AG209" s="372">
        <f>IF(ISBLANK(Table2[[#This Row],[Primary Instructor]]),0,1)</f>
        <v>1</v>
      </c>
      <c r="AH209" s="372">
        <f>IF(ISBLANK(Table2[[#This Row],[Instructor 2]]),0,1)</f>
        <v>0</v>
      </c>
      <c r="AI209" s="372">
        <f>Table2[[#This Row],[Course Length (Hours)]]/(SUM(Table2[[#This Row],[1]:[2]]))</f>
        <v>30</v>
      </c>
      <c r="AJ209" s="372">
        <v>24</v>
      </c>
      <c r="AK209" s="396">
        <v>2</v>
      </c>
    </row>
    <row r="210" spans="1:37" s="408" customFormat="1" x14ac:dyDescent="0.25">
      <c r="A210" s="389" t="s">
        <v>485</v>
      </c>
      <c r="B210" s="435" t="s">
        <v>31</v>
      </c>
      <c r="C210" s="367" t="str">
        <f>VLOOKUP(Table2[[#This Row],[Course Title]],'TSD-Data'!$A$1:$E$56,2,FALSE)</f>
        <v>A-493-0083</v>
      </c>
      <c r="D210" s="367" t="str">
        <f>VLOOKUP(Table2[[#This Row],[Course Title]],'TSD-Data'!$A$1:$E$56,3,FALSE)</f>
        <v>339E</v>
      </c>
      <c r="E210" s="399" t="s">
        <v>86</v>
      </c>
      <c r="F210" s="416">
        <v>45733</v>
      </c>
      <c r="G210" s="416">
        <v>45733</v>
      </c>
      <c r="H210" s="370"/>
      <c r="I210" s="370">
        <v>0.45833333333333331</v>
      </c>
      <c r="J210" s="370">
        <v>0.33333333333333331</v>
      </c>
      <c r="K210" s="370">
        <v>0.75</v>
      </c>
      <c r="L210" s="370">
        <v>0.66666666666666663</v>
      </c>
      <c r="M210" s="370">
        <v>0.20833333333333334</v>
      </c>
      <c r="N210" s="370">
        <v>0</v>
      </c>
      <c r="O210" s="389" t="s">
        <v>280</v>
      </c>
      <c r="P210" s="389"/>
      <c r="Q210" s="365"/>
      <c r="R210" s="372">
        <f>VLOOKUP(Table2[[#This Row],[Course Title]],'TSD-Data'!$A$1:$E$56,4,FALSE)</f>
        <v>30</v>
      </c>
      <c r="S210" s="372">
        <f>VLOOKUP(Table2[[#This Row],[Course Title]],'TSD-Data'!$A$1:$F$53,6,FALSE)</f>
        <v>8</v>
      </c>
      <c r="T210" s="372">
        <f>VLOOKUP(Table2[[#This Row],[Course Title]],'TSD-Data'!$A$1:$E$56,5,FALSE)</f>
        <v>1</v>
      </c>
      <c r="U210" s="372">
        <v>0</v>
      </c>
      <c r="V210" s="372">
        <f>Table2[[#This Row],[Quotas]]-Table2[[#This Row],[Open Quotas]]</f>
        <v>30</v>
      </c>
      <c r="W210" s="372">
        <v>0</v>
      </c>
      <c r="X210" s="372">
        <v>27</v>
      </c>
      <c r="Y210" s="394">
        <v>1</v>
      </c>
      <c r="Z210" s="372">
        <v>2</v>
      </c>
      <c r="AA210" s="372">
        <v>0</v>
      </c>
      <c r="AB210" s="372">
        <v>0</v>
      </c>
      <c r="AC210" s="372" t="s">
        <v>287</v>
      </c>
      <c r="AD210" s="394">
        <f ca="1">Table2[[#This Row],[End Date]]+2-TODAY()</f>
        <v>-42</v>
      </c>
      <c r="AE210" s="372">
        <f>IF(ISBLANK(Table2[[#This Row],[Received by]]),1,0)</f>
        <v>0</v>
      </c>
      <c r="AF210" s="372">
        <f ca="1">IF(Table2[[#This Row],[Start Date]]&gt;TODAY(),1,)</f>
        <v>0</v>
      </c>
      <c r="AG210" s="372">
        <f>IF(ISBLANK(Table2[[#This Row],[Primary Instructor]]),0,1)</f>
        <v>1</v>
      </c>
      <c r="AH210" s="372">
        <f>IF(ISBLANK(Table2[[#This Row],[Instructor 2]]),0,1)</f>
        <v>0</v>
      </c>
      <c r="AI210" s="372">
        <f>Table2[[#This Row],[Course Length (Hours)]]/(SUM(Table2[[#This Row],[1]:[2]]))</f>
        <v>8</v>
      </c>
      <c r="AJ210" s="372">
        <v>0</v>
      </c>
      <c r="AK210" s="396">
        <v>2</v>
      </c>
    </row>
    <row r="211" spans="1:37" s="373" customFormat="1" x14ac:dyDescent="0.25">
      <c r="A211" s="429"/>
      <c r="B211" s="435" t="s">
        <v>32</v>
      </c>
      <c r="C211" s="367" t="str">
        <f>VLOOKUP(Table2[[#This Row],[Course Title]],'TSD-Data'!$A$1:$E$56,2,FALSE)</f>
        <v>A-493-2300</v>
      </c>
      <c r="D211" s="367" t="str">
        <f>VLOOKUP(Table2[[#This Row],[Course Title]],'TSD-Data'!$A$1:$E$56,3,FALSE)</f>
        <v>993F</v>
      </c>
      <c r="E211" s="399" t="s">
        <v>220</v>
      </c>
      <c r="F211" s="416">
        <v>45733</v>
      </c>
      <c r="G211" s="416">
        <v>45734</v>
      </c>
      <c r="H211" s="370">
        <v>0.33333333333333331</v>
      </c>
      <c r="I211" s="392"/>
      <c r="J211" s="392"/>
      <c r="K211" s="392"/>
      <c r="L211" s="392"/>
      <c r="M211" s="392"/>
      <c r="N211" s="392"/>
      <c r="O211" s="389" t="s">
        <v>280</v>
      </c>
      <c r="P211" s="389"/>
      <c r="Q211" s="365"/>
      <c r="R211" s="372">
        <f>VLOOKUP(Table2[[#This Row],[Course Title]],'TSD-Data'!$A$1:$E$56,4,FALSE)</f>
        <v>30</v>
      </c>
      <c r="S211" s="372">
        <f>VLOOKUP(Table2[[#This Row],[Course Title]],'TSD-Data'!$A$1:$F$53,6,FALSE)</f>
        <v>16</v>
      </c>
      <c r="T211" s="372">
        <f>VLOOKUP(Table2[[#This Row],[Course Title]],'TSD-Data'!$A$1:$E$56,5,FALSE)</f>
        <v>2</v>
      </c>
      <c r="U211" s="372">
        <v>23</v>
      </c>
      <c r="V211" s="372">
        <f>Table2[[#This Row],[Quotas]]-Table2[[#This Row],[Open Quotas]]</f>
        <v>28</v>
      </c>
      <c r="W211" s="372">
        <v>0</v>
      </c>
      <c r="X211" s="372">
        <v>26</v>
      </c>
      <c r="Y211" s="394">
        <v>0</v>
      </c>
      <c r="Z211" s="372">
        <v>2</v>
      </c>
      <c r="AA211" s="372">
        <v>0</v>
      </c>
      <c r="AB211" s="372">
        <v>0</v>
      </c>
      <c r="AC211" s="372" t="s">
        <v>287</v>
      </c>
      <c r="AD211" s="394">
        <f ca="1">Table2[[#This Row],[End Date]]+2-TODAY()</f>
        <v>-41</v>
      </c>
      <c r="AE211" s="372">
        <f>IF(ISBLANK(Table2[[#This Row],[Received by]]),1,0)</f>
        <v>0</v>
      </c>
      <c r="AF211" s="372">
        <f ca="1">IF(Table2[[#This Row],[Start Date]]&gt;TODAY(),1,)</f>
        <v>0</v>
      </c>
      <c r="AG211" s="372">
        <f>IF(ISBLANK(Table2[[#This Row],[Primary Instructor]]),0,1)</f>
        <v>1</v>
      </c>
      <c r="AH211" s="372">
        <f>IF(ISBLANK(Table2[[#This Row],[Instructor 2]]),0,1)</f>
        <v>0</v>
      </c>
      <c r="AI211" s="372">
        <f>Table2[[#This Row],[Course Length (Hours)]]/(SUM(Table2[[#This Row],[1]:[2]]))</f>
        <v>16</v>
      </c>
      <c r="AJ211" s="372">
        <v>2</v>
      </c>
      <c r="AK211" s="396">
        <v>2</v>
      </c>
    </row>
    <row r="212" spans="1:37" s="373" customFormat="1" x14ac:dyDescent="0.25">
      <c r="A212" s="429"/>
      <c r="B212" s="435" t="s">
        <v>59</v>
      </c>
      <c r="C212" s="367" t="str">
        <f>VLOOKUP(Table2[[#This Row],[Course Title]],'TSD-Data'!$A$1:$E$56,2,FALSE)</f>
        <v>A-493-0550</v>
      </c>
      <c r="D212" s="367" t="str">
        <f>VLOOKUP(Table2[[#This Row],[Course Title]],'TSD-Data'!$A$1:$E$56,3,FALSE)</f>
        <v>09K5</v>
      </c>
      <c r="E212" s="390" t="s">
        <v>86</v>
      </c>
      <c r="F212" s="416">
        <v>45733</v>
      </c>
      <c r="G212" s="416">
        <v>45736</v>
      </c>
      <c r="H212" s="370"/>
      <c r="I212" s="381">
        <v>0.33333333333333331</v>
      </c>
      <c r="J212" s="370">
        <v>0.20833333333333334</v>
      </c>
      <c r="K212" s="370">
        <v>0.625</v>
      </c>
      <c r="L212" s="370">
        <v>0.54166666666666663</v>
      </c>
      <c r="M212" s="370">
        <v>8.3333333333333329E-2</v>
      </c>
      <c r="N212" s="370">
        <v>0.875</v>
      </c>
      <c r="O212" s="389" t="s">
        <v>301</v>
      </c>
      <c r="P212" s="389"/>
      <c r="Q212" s="365"/>
      <c r="R212" s="394">
        <f>VLOOKUP(Table2[[#This Row],[Course Title]],'TSD-Data'!$A$1:$E$56,4,FALSE)</f>
        <v>45</v>
      </c>
      <c r="S212" s="372">
        <f>VLOOKUP(Table2[[#This Row],[Course Title]],'TSD-Data'!$A$1:$F$53,6,FALSE)</f>
        <v>32</v>
      </c>
      <c r="T212" s="372">
        <f>VLOOKUP(Table2[[#This Row],[Course Title]],'TSD-Data'!$A$1:$E$56,5,FALSE)</f>
        <v>4</v>
      </c>
      <c r="U212" s="372">
        <v>845</v>
      </c>
      <c r="V212" s="372">
        <f>Table2[[#This Row],[Quotas]]-Table2[[#This Row],[Open Quotas]]</f>
        <v>42</v>
      </c>
      <c r="W212" s="372">
        <v>0</v>
      </c>
      <c r="X212" s="394">
        <v>42</v>
      </c>
      <c r="Y212" s="394">
        <v>0</v>
      </c>
      <c r="Z212" s="372">
        <v>7</v>
      </c>
      <c r="AA212" s="372">
        <v>0</v>
      </c>
      <c r="AB212" s="372">
        <v>0</v>
      </c>
      <c r="AC212" s="372" t="s">
        <v>291</v>
      </c>
      <c r="AD212" s="394">
        <f ca="1">Table2[[#This Row],[End Date]]+2-TODAY()</f>
        <v>-39</v>
      </c>
      <c r="AE212" s="372">
        <f>IF(ISBLANK(Table2[[#This Row],[Received by]]),1,0)</f>
        <v>0</v>
      </c>
      <c r="AF212" s="372">
        <f ca="1">IF(Table2[[#This Row],[Start Date]]&gt;TODAY(),1,)</f>
        <v>0</v>
      </c>
      <c r="AG212" s="372">
        <f>IF(ISBLANK(Table2[[#This Row],[Primary Instructor]]),0,1)</f>
        <v>1</v>
      </c>
      <c r="AH212" s="372">
        <f>IF(ISBLANK(Table2[[#This Row],[Instructor 2]]),0,1)</f>
        <v>0</v>
      </c>
      <c r="AI212" s="372">
        <f>Table2[[#This Row],[Course Length (Hours)]]/(SUM(Table2[[#This Row],[1]:[2]]))</f>
        <v>32</v>
      </c>
      <c r="AJ212" s="372">
        <v>3</v>
      </c>
      <c r="AK212" s="396">
        <v>2</v>
      </c>
    </row>
    <row r="213" spans="1:37" s="373" customFormat="1" x14ac:dyDescent="0.25">
      <c r="A213" s="389"/>
      <c r="B213" s="435" t="s">
        <v>60</v>
      </c>
      <c r="C213" s="367" t="str">
        <f>VLOOKUP(Table2[[#This Row],[Course Title]],'TSD-Data'!$A$1:$E$56,2,FALSE)</f>
        <v>A-493-0073</v>
      </c>
      <c r="D213" s="367" t="str">
        <f>VLOOKUP(Table2[[#This Row],[Course Title]],'TSD-Data'!$A$1:$E$56,3,FALSE)</f>
        <v>714S</v>
      </c>
      <c r="E213" s="390" t="s">
        <v>86</v>
      </c>
      <c r="F213" s="416">
        <v>45733</v>
      </c>
      <c r="G213" s="416">
        <v>45736</v>
      </c>
      <c r="H213" s="370"/>
      <c r="I213" s="381">
        <v>0.58333333333333337</v>
      </c>
      <c r="J213" s="381">
        <v>0.45833333333333331</v>
      </c>
      <c r="K213" s="381">
        <v>0.875</v>
      </c>
      <c r="L213" s="381">
        <v>0.79166666666666663</v>
      </c>
      <c r="M213" s="381">
        <v>0.33333333333333331</v>
      </c>
      <c r="N213" s="381">
        <v>0.125</v>
      </c>
      <c r="O213" s="389" t="s">
        <v>314</v>
      </c>
      <c r="P213" s="389"/>
      <c r="Q213" s="365"/>
      <c r="R213" s="372">
        <f>VLOOKUP(Table2[[#This Row],[Course Title]],'TSD-Data'!$A$1:$E$56,4,FALSE)</f>
        <v>30</v>
      </c>
      <c r="S213" s="372">
        <f>VLOOKUP(Table2[[#This Row],[Course Title]],'TSD-Data'!$A$1:$F$53,6,FALSE)</f>
        <v>32</v>
      </c>
      <c r="T213" s="372">
        <f>VLOOKUP(Table2[[#This Row],[Course Title]],'TSD-Data'!$A$1:$E$56,5,FALSE)</f>
        <v>4</v>
      </c>
      <c r="U213" s="372">
        <v>194</v>
      </c>
      <c r="V213" s="372">
        <f>Table2[[#This Row],[Quotas]]-Table2[[#This Row],[Open Quotas]]</f>
        <v>10</v>
      </c>
      <c r="W213" s="372">
        <v>0</v>
      </c>
      <c r="X213" s="372">
        <v>9</v>
      </c>
      <c r="Y213" s="394">
        <v>0</v>
      </c>
      <c r="Z213" s="372">
        <v>4</v>
      </c>
      <c r="AA213" s="372">
        <v>0</v>
      </c>
      <c r="AB213" s="372">
        <v>0</v>
      </c>
      <c r="AC213" s="372" t="s">
        <v>291</v>
      </c>
      <c r="AD213" s="394">
        <f ca="1">Table2[[#This Row],[End Date]]+2-TODAY()</f>
        <v>-39</v>
      </c>
      <c r="AE213" s="372">
        <f>IF(ISBLANK(Table2[[#This Row],[Received by]]),1,0)</f>
        <v>0</v>
      </c>
      <c r="AF213" s="372">
        <f ca="1">IF(Table2[[#This Row],[Start Date]]&gt;TODAY(),1,)</f>
        <v>0</v>
      </c>
      <c r="AG213" s="372">
        <f>IF(ISBLANK(Table2[[#This Row],[Primary Instructor]]),0,1)</f>
        <v>1</v>
      </c>
      <c r="AH213" s="372">
        <f>IF(ISBLANK(Table2[[#This Row],[Instructor 2]]),0,1)</f>
        <v>0</v>
      </c>
      <c r="AI213" s="372">
        <f>Table2[[#This Row],[Course Length (Hours)]]/(SUM(Table2[[#This Row],[1]:[2]]))</f>
        <v>32</v>
      </c>
      <c r="AJ213" s="372">
        <v>20</v>
      </c>
      <c r="AK213" s="396">
        <v>2</v>
      </c>
    </row>
    <row r="214" spans="1:37" s="373" customFormat="1" x14ac:dyDescent="0.25">
      <c r="A214" s="438"/>
      <c r="B214" s="435" t="s">
        <v>39</v>
      </c>
      <c r="C214" s="374" t="str">
        <f>VLOOKUP(Table2[[#This Row],[Course Title]],'TSD-Data'!$A$1:$E$56,2,FALSE)</f>
        <v>A-570-0100</v>
      </c>
      <c r="D214" s="374" t="str">
        <f>VLOOKUP(Table2[[#This Row],[Course Title]],'TSD-Data'!$A$1:$E$56,3,FALSE)</f>
        <v>18B7</v>
      </c>
      <c r="E214" s="399" t="s">
        <v>86</v>
      </c>
      <c r="F214" s="416">
        <v>45733</v>
      </c>
      <c r="G214" s="416">
        <v>45734</v>
      </c>
      <c r="H214" s="377"/>
      <c r="I214" s="380">
        <v>0.5</v>
      </c>
      <c r="J214" s="380">
        <v>0.375</v>
      </c>
      <c r="K214" s="380">
        <v>0.79166666666666663</v>
      </c>
      <c r="L214" s="380">
        <v>0.75</v>
      </c>
      <c r="M214" s="380">
        <v>0.25</v>
      </c>
      <c r="N214" s="380">
        <v>4.1666666666666664E-2</v>
      </c>
      <c r="O214" s="401" t="s">
        <v>288</v>
      </c>
      <c r="P214" s="401" t="s">
        <v>272</v>
      </c>
      <c r="Q214" s="365"/>
      <c r="R214" s="378">
        <f>VLOOKUP(Table2[[#This Row],[Course Title]],'TSD-Data'!$A$1:$E$56,4,FALSE)</f>
        <v>45</v>
      </c>
      <c r="S214" s="378">
        <f>VLOOKUP(Table2[[#This Row],[Course Title]],'TSD-Data'!$A$1:$F$53,6,FALSE)</f>
        <v>16</v>
      </c>
      <c r="T214" s="378">
        <f>VLOOKUP(Table2[[#This Row],[Course Title]],'TSD-Data'!$A$1:$E$56,5,FALSE)</f>
        <v>2</v>
      </c>
      <c r="U214" s="378">
        <v>621</v>
      </c>
      <c r="V214" s="378">
        <f>Table2[[#This Row],[Quotas]]-Table2[[#This Row],[Open Quotas]]</f>
        <v>17</v>
      </c>
      <c r="W214" s="378">
        <v>0</v>
      </c>
      <c r="X214" s="402">
        <v>13</v>
      </c>
      <c r="Y214" s="402">
        <v>1</v>
      </c>
      <c r="Z214" s="374">
        <v>4</v>
      </c>
      <c r="AA214" s="374">
        <v>0</v>
      </c>
      <c r="AB214" s="402">
        <v>0</v>
      </c>
      <c r="AC214" s="378" t="s">
        <v>287</v>
      </c>
      <c r="AD214" s="403">
        <f ca="1">Table2[[#This Row],[End Date]]+2-TODAY()</f>
        <v>-41</v>
      </c>
      <c r="AE214" s="378">
        <f>IF(ISBLANK(Table2[[#This Row],[Received by]]),1,0)</f>
        <v>0</v>
      </c>
      <c r="AF214" s="378">
        <f ca="1">IF(Table2[[#This Row],[Start Date]]&gt;TODAY(),1,)</f>
        <v>0</v>
      </c>
      <c r="AG214" s="378">
        <f>IF(ISBLANK(Table2[[#This Row],[Primary Instructor]]),0,1)</f>
        <v>1</v>
      </c>
      <c r="AH214" s="378">
        <f>IF(ISBLANK(Table2[[#This Row],[Instructor 2]]),0,1)</f>
        <v>1</v>
      </c>
      <c r="AI214" s="378">
        <f>Table2[[#This Row],[Course Length (Hours)]]/(SUM(Table2[[#This Row],[1]:[2]]))</f>
        <v>8</v>
      </c>
      <c r="AJ214" s="378">
        <v>28</v>
      </c>
      <c r="AK214" s="526">
        <v>2</v>
      </c>
    </row>
    <row r="215" spans="1:37" s="408" customFormat="1" x14ac:dyDescent="0.25">
      <c r="A215" s="437"/>
      <c r="B215" s="435" t="s">
        <v>53</v>
      </c>
      <c r="C215" s="374" t="str">
        <f>VLOOKUP(Table2[[#This Row],[Course Title]],'TSD-Data'!$A$1:$E$56,2,FALSE)</f>
        <v>A-493-0072</v>
      </c>
      <c r="D215" s="374" t="str">
        <f>VLOOKUP(Table2[[#This Row],[Course Title]],'TSD-Data'!$A$1:$E$56,3,FALSE)</f>
        <v>713U</v>
      </c>
      <c r="E215" s="399" t="s">
        <v>212</v>
      </c>
      <c r="F215" s="416">
        <v>45733</v>
      </c>
      <c r="G215" s="416">
        <v>45737</v>
      </c>
      <c r="H215" s="377">
        <v>0.33333333333333331</v>
      </c>
      <c r="I215" s="412"/>
      <c r="J215" s="409"/>
      <c r="K215" s="409"/>
      <c r="L215" s="409"/>
      <c r="M215" s="409"/>
      <c r="N215" s="409"/>
      <c r="O215" s="401" t="s">
        <v>316</v>
      </c>
      <c r="P215" s="401" t="s">
        <v>274</v>
      </c>
      <c r="Q215" s="365"/>
      <c r="R215" s="378">
        <f>VLOOKUP(Table2[[#This Row],[Course Title]],'TSD-Data'!$A$1:$E$56,4,FALSE)</f>
        <v>30</v>
      </c>
      <c r="S215" s="378">
        <f>VLOOKUP(Table2[[#This Row],[Course Title]],'TSD-Data'!$A$1:$F$53,6,FALSE)</f>
        <v>40</v>
      </c>
      <c r="T215" s="378">
        <f>VLOOKUP(Table2[[#This Row],[Course Title]],'TSD-Data'!$A$1:$E$56,5,FALSE)</f>
        <v>5</v>
      </c>
      <c r="U215" s="378">
        <v>186</v>
      </c>
      <c r="V215" s="378">
        <f>Table2[[#This Row],[Quotas]]-Table2[[#This Row],[Open Quotas]]</f>
        <v>29</v>
      </c>
      <c r="W215" s="378">
        <v>1</v>
      </c>
      <c r="X215" s="378">
        <v>26</v>
      </c>
      <c r="Y215" s="403">
        <v>0</v>
      </c>
      <c r="Z215" s="378">
        <v>9</v>
      </c>
      <c r="AA215" s="378">
        <v>4</v>
      </c>
      <c r="AB215" s="378">
        <v>0</v>
      </c>
      <c r="AC215" s="378" t="s">
        <v>281</v>
      </c>
      <c r="AD215" s="403">
        <f ca="1">Table2[[#This Row],[End Date]]+2-TODAY()</f>
        <v>-38</v>
      </c>
      <c r="AE215" s="378">
        <f>IF(ISBLANK(Table2[[#This Row],[Received by]]),1,0)</f>
        <v>0</v>
      </c>
      <c r="AF215" s="378">
        <f ca="1">IF(Table2[[#This Row],[Start Date]]&gt;TODAY(),1,)</f>
        <v>0</v>
      </c>
      <c r="AG215" s="378">
        <f>IF(ISBLANK(Table2[[#This Row],[Primary Instructor]]),0,1)</f>
        <v>1</v>
      </c>
      <c r="AH215" s="378">
        <f>IF(ISBLANK(Table2[[#This Row],[Instructor 2]]),0,1)</f>
        <v>1</v>
      </c>
      <c r="AI215" s="378">
        <f>Table2[[#This Row],[Course Length (Hours)]]/(SUM(Table2[[#This Row],[1]:[2]]))</f>
        <v>20</v>
      </c>
      <c r="AJ215" s="378">
        <v>1</v>
      </c>
      <c r="AK215" s="526">
        <v>2</v>
      </c>
    </row>
    <row r="216" spans="1:37" s="373" customFormat="1" x14ac:dyDescent="0.25">
      <c r="A216" s="401"/>
      <c r="B216" s="435" t="s">
        <v>338</v>
      </c>
      <c r="C216" s="374" t="str">
        <f>VLOOKUP(Table2[[#This Row],[Course Title]],'TSD-Data'!$A$1:$E$56,2,FALSE)</f>
        <v>A-4J-0019</v>
      </c>
      <c r="D216" s="374" t="s">
        <v>534</v>
      </c>
      <c r="E216" s="399" t="s">
        <v>197</v>
      </c>
      <c r="F216" s="416">
        <v>45733</v>
      </c>
      <c r="G216" s="416">
        <v>45737</v>
      </c>
      <c r="H216" s="377">
        <v>800.33333333333337</v>
      </c>
      <c r="I216" s="412"/>
      <c r="J216" s="409"/>
      <c r="K216" s="409"/>
      <c r="L216" s="409"/>
      <c r="M216" s="409"/>
      <c r="N216" s="409"/>
      <c r="O216" s="401" t="s">
        <v>327</v>
      </c>
      <c r="P216" s="401" t="s">
        <v>329</v>
      </c>
      <c r="Q216" s="389"/>
      <c r="R216" s="378">
        <f>VLOOKUP(Table2[[#This Row],[Course Title]],'TSD-Data'!$A$1:$E$56,4,FALSE)</f>
        <v>20</v>
      </c>
      <c r="S216" s="378">
        <f>VLOOKUP(Table2[[#This Row],[Course Title]],'TSD-Data'!$A$1:$F$53,6,FALSE)</f>
        <v>40</v>
      </c>
      <c r="T216" s="402">
        <v>5</v>
      </c>
      <c r="U216" s="378">
        <v>351</v>
      </c>
      <c r="V216" s="378">
        <f>Table2[[#This Row],[Quotas]]-Table2[[#This Row],[Open Quotas]]</f>
        <v>17</v>
      </c>
      <c r="W216" s="378">
        <v>0</v>
      </c>
      <c r="X216" s="403">
        <v>17</v>
      </c>
      <c r="Y216" s="403">
        <v>0</v>
      </c>
      <c r="Z216" s="378">
        <v>0</v>
      </c>
      <c r="AA216" s="378">
        <v>0</v>
      </c>
      <c r="AB216" s="378">
        <v>0</v>
      </c>
      <c r="AC216" s="378" t="s">
        <v>281</v>
      </c>
      <c r="AD216" s="403">
        <f ca="1">Table2[[#This Row],[End Date]]+2-TODAY()</f>
        <v>-38</v>
      </c>
      <c r="AE216" s="378">
        <f>IF(ISBLANK(Table2[[#This Row],[Received by]]),1,0)</f>
        <v>0</v>
      </c>
      <c r="AF216" s="378">
        <f ca="1">IF(Table2[[#This Row],[Start Date]]&gt;TODAY(),1,)</f>
        <v>0</v>
      </c>
      <c r="AG216" s="378">
        <f>IF(ISBLANK(Table2[[#This Row],[Primary Instructor]]),0,1)</f>
        <v>1</v>
      </c>
      <c r="AH216" s="378">
        <f>IF(ISBLANK(Table2[[#This Row],[Instructor 2]]),0,1)</f>
        <v>1</v>
      </c>
      <c r="AI216" s="378">
        <f>Table2[[#This Row],[Course Length (Hours)]]/(SUM(Table2[[#This Row],[1]:[2]]))</f>
        <v>20</v>
      </c>
      <c r="AJ216" s="378">
        <v>3</v>
      </c>
      <c r="AK216" s="526">
        <v>2</v>
      </c>
    </row>
    <row r="217" spans="1:37" s="408" customFormat="1" x14ac:dyDescent="0.25">
      <c r="A217" s="438"/>
      <c r="B217" s="435" t="s">
        <v>40</v>
      </c>
      <c r="C217" s="374" t="str">
        <f>VLOOKUP(Table2[[#This Row],[Course Title]],'TSD-Data'!$A$1:$E$56,2,FALSE)</f>
        <v>A-493-2098</v>
      </c>
      <c r="D217" s="374" t="str">
        <f>VLOOKUP(Table2[[#This Row],[Course Title]],'TSD-Data'!$A$1:$E$56,3,FALSE)</f>
        <v>09WW</v>
      </c>
      <c r="E217" s="399" t="s">
        <v>86</v>
      </c>
      <c r="F217" s="416">
        <v>45733</v>
      </c>
      <c r="G217" s="416">
        <v>45734</v>
      </c>
      <c r="H217" s="377"/>
      <c r="I217" s="380">
        <v>0.5</v>
      </c>
      <c r="J217" s="380">
        <v>0.375</v>
      </c>
      <c r="K217" s="380">
        <v>0.79166666666666663</v>
      </c>
      <c r="L217" s="380">
        <v>0.75</v>
      </c>
      <c r="M217" s="380">
        <v>0.25</v>
      </c>
      <c r="N217" s="380">
        <v>4.1666666666666664E-2</v>
      </c>
      <c r="O217" s="401" t="s">
        <v>282</v>
      </c>
      <c r="P217" s="401"/>
      <c r="Q217" s="365"/>
      <c r="R217" s="378">
        <f>VLOOKUP(Table2[[#This Row],[Course Title]],'TSD-Data'!$A$1:$E$56,4,FALSE)</f>
        <v>100</v>
      </c>
      <c r="S217" s="378">
        <f>VLOOKUP(Table2[[#This Row],[Course Title]],'TSD-Data'!$A$1:$F$53,6,FALSE)</f>
        <v>16</v>
      </c>
      <c r="T217" s="378">
        <f>VLOOKUP(Table2[[#This Row],[Course Title]],'TSD-Data'!$A$1:$E$56,5,FALSE)</f>
        <v>2</v>
      </c>
      <c r="U217" s="378">
        <v>1432</v>
      </c>
      <c r="V217" s="378">
        <f>Table2[[#This Row],[Quotas]]-Table2[[#This Row],[Open Quotas]]</f>
        <v>96</v>
      </c>
      <c r="W217" s="378">
        <v>0</v>
      </c>
      <c r="X217" s="402">
        <v>62</v>
      </c>
      <c r="Y217" s="402">
        <v>18</v>
      </c>
      <c r="Z217" s="374">
        <v>18</v>
      </c>
      <c r="AA217" s="374">
        <v>2</v>
      </c>
      <c r="AB217" s="402">
        <v>0</v>
      </c>
      <c r="AC217" s="378" t="s">
        <v>287</v>
      </c>
      <c r="AD217" s="403">
        <f ca="1">Table2[[#This Row],[End Date]]+2-TODAY()</f>
        <v>-41</v>
      </c>
      <c r="AE217" s="378">
        <f>IF(ISBLANK(Table2[[#This Row],[Received by]]),1,0)</f>
        <v>0</v>
      </c>
      <c r="AF217" s="378">
        <f ca="1">IF(Table2[[#This Row],[Start Date]]&gt;TODAY(),1,)</f>
        <v>0</v>
      </c>
      <c r="AG217" s="378">
        <f>IF(ISBLANK(Table2[[#This Row],[Primary Instructor]]),0,1)</f>
        <v>1</v>
      </c>
      <c r="AH217" s="378">
        <f>IF(ISBLANK(Table2[[#This Row],[Instructor 2]]),0,1)</f>
        <v>0</v>
      </c>
      <c r="AI217" s="378">
        <f>Table2[[#This Row],[Course Length (Hours)]]/(SUM(Table2[[#This Row],[1]:[2]]))</f>
        <v>16</v>
      </c>
      <c r="AJ217" s="378">
        <v>4</v>
      </c>
      <c r="AK217" s="526">
        <v>2</v>
      </c>
    </row>
    <row r="218" spans="1:37" s="373" customFormat="1" x14ac:dyDescent="0.25">
      <c r="A218" s="427"/>
      <c r="B218" s="435" t="s">
        <v>57</v>
      </c>
      <c r="C218" s="367" t="str">
        <f>VLOOKUP(Table2[[#This Row],[Course Title]],'TSD-Data'!$A$1:$E$56,2,FALSE)</f>
        <v>A-493-0099</v>
      </c>
      <c r="D218" s="367" t="str">
        <f>VLOOKUP(Table2[[#This Row],[Course Title]],'TSD-Data'!$A$1:$E$56,3,FALSE)</f>
        <v>12JW</v>
      </c>
      <c r="E218" s="399" t="s">
        <v>86</v>
      </c>
      <c r="F218" s="416">
        <v>45734</v>
      </c>
      <c r="G218" s="416">
        <v>45736</v>
      </c>
      <c r="H218" s="370"/>
      <c r="I218" s="381">
        <v>0.79166666666666663</v>
      </c>
      <c r="J218" s="381">
        <v>0.66666666666666663</v>
      </c>
      <c r="K218" s="381">
        <v>8.3333333333333329E-2</v>
      </c>
      <c r="L218" s="381">
        <v>0</v>
      </c>
      <c r="M218" s="381">
        <v>0.54166666666666663</v>
      </c>
      <c r="N218" s="381">
        <v>0.33333333333333331</v>
      </c>
      <c r="O218" s="389" t="s">
        <v>305</v>
      </c>
      <c r="P218" s="389"/>
      <c r="Q218" s="365"/>
      <c r="R218" s="394">
        <f>VLOOKUP(Table2[[#This Row],[Course Title]],'TSD-Data'!$A$1:$E$56,4,FALSE)</f>
        <v>45</v>
      </c>
      <c r="S218" s="372">
        <f>VLOOKUP(Table2[[#This Row],[Course Title]],'TSD-Data'!$A$1:$F$53,6,FALSE)</f>
        <v>24</v>
      </c>
      <c r="T218" s="372">
        <f>VLOOKUP(Table2[[#This Row],[Course Title]],'TSD-Data'!$A$1:$E$56,5,FALSE)</f>
        <v>3</v>
      </c>
      <c r="U218" s="372">
        <v>155</v>
      </c>
      <c r="V218" s="372">
        <f>Table2[[#This Row],[Quotas]]-Table2[[#This Row],[Open Quotas]]</f>
        <v>26</v>
      </c>
      <c r="W218" s="372">
        <v>0</v>
      </c>
      <c r="X218" s="395">
        <v>18</v>
      </c>
      <c r="Y218" s="395">
        <v>0</v>
      </c>
      <c r="Z218" s="367">
        <v>8</v>
      </c>
      <c r="AA218" s="367">
        <v>0</v>
      </c>
      <c r="AB218" s="395">
        <v>0</v>
      </c>
      <c r="AC218" s="372" t="s">
        <v>291</v>
      </c>
      <c r="AD218" s="394">
        <f ca="1">Table2[[#This Row],[End Date]]+2-TODAY()</f>
        <v>-39</v>
      </c>
      <c r="AE218" s="372">
        <f>IF(ISBLANK(Table2[[#This Row],[Received by]]),1,0)</f>
        <v>0</v>
      </c>
      <c r="AF218" s="372">
        <f ca="1">IF(Table2[[#This Row],[Start Date]]&gt;TODAY(),1,)</f>
        <v>0</v>
      </c>
      <c r="AG218" s="372">
        <f>IF(ISBLANK(Table2[[#This Row],[Primary Instructor]]),0,1)</f>
        <v>1</v>
      </c>
      <c r="AH218" s="372">
        <f>IF(ISBLANK(Table2[[#This Row],[Instructor 2]]),0,1)</f>
        <v>0</v>
      </c>
      <c r="AI218" s="372">
        <f>Table2[[#This Row],[Course Length (Hours)]]/(SUM(Table2[[#This Row],[1]:[2]]))</f>
        <v>24</v>
      </c>
      <c r="AJ218" s="372">
        <v>19</v>
      </c>
      <c r="AK218" s="396">
        <v>2</v>
      </c>
    </row>
    <row r="219" spans="1:37" s="373" customFormat="1" x14ac:dyDescent="0.25">
      <c r="A219" s="390"/>
      <c r="B219" s="435" t="s">
        <v>50</v>
      </c>
      <c r="C219" s="367" t="str">
        <f>VLOOKUP(Table2[[#This Row],[Course Title]],'TSD-Data'!$A$1:$E$56,2,FALSE)</f>
        <v>A-493-0331</v>
      </c>
      <c r="D219" s="367" t="str">
        <f>VLOOKUP(Table2[[#This Row],[Course Title]],'TSD-Data'!$A$1:$E$56,3,FALSE)</f>
        <v>10UG</v>
      </c>
      <c r="E219" s="390" t="s">
        <v>86</v>
      </c>
      <c r="F219" s="416">
        <v>45734</v>
      </c>
      <c r="G219" s="416">
        <v>45736</v>
      </c>
      <c r="H219" s="370"/>
      <c r="I219" s="381">
        <v>0.5</v>
      </c>
      <c r="J219" s="381">
        <v>0.375</v>
      </c>
      <c r="K219" s="381">
        <v>0.79166666666666663</v>
      </c>
      <c r="L219" s="381">
        <v>0.75</v>
      </c>
      <c r="M219" s="381">
        <v>0.25</v>
      </c>
      <c r="N219" s="381">
        <v>4.1666666666666664E-2</v>
      </c>
      <c r="O219" s="389" t="s">
        <v>278</v>
      </c>
      <c r="P219" s="389" t="s">
        <v>275</v>
      </c>
      <c r="Q219" s="365"/>
      <c r="R219" s="372">
        <f>VLOOKUP(Table2[[#This Row],[Course Title]],'TSD-Data'!$A$1:$E$56,4,FALSE)</f>
        <v>45</v>
      </c>
      <c r="S219" s="372">
        <f>VLOOKUP(Table2[[#This Row],[Course Title]],'TSD-Data'!$A$1:$F$53,6,FALSE)</f>
        <v>24</v>
      </c>
      <c r="T219" s="372">
        <f>VLOOKUP(Table2[[#This Row],[Course Title]],'TSD-Data'!$A$1:$E$56,5,FALSE)</f>
        <v>3</v>
      </c>
      <c r="U219" s="372">
        <v>805</v>
      </c>
      <c r="V219" s="372">
        <f>Table2[[#This Row],[Quotas]]-Table2[[#This Row],[Open Quotas]]</f>
        <v>43</v>
      </c>
      <c r="W219" s="372">
        <v>4</v>
      </c>
      <c r="X219" s="394">
        <v>35</v>
      </c>
      <c r="Y219" s="394">
        <v>3</v>
      </c>
      <c r="Z219" s="372">
        <v>9</v>
      </c>
      <c r="AA219" s="372">
        <v>2</v>
      </c>
      <c r="AB219" s="372">
        <v>0</v>
      </c>
      <c r="AC219" s="372" t="s">
        <v>281</v>
      </c>
      <c r="AD219" s="394">
        <f ca="1">Table2[[#This Row],[End Date]]+2-TODAY()</f>
        <v>-39</v>
      </c>
      <c r="AE219" s="372">
        <f>IF(ISBLANK(Table2[[#This Row],[Received by]]),1,0)</f>
        <v>0</v>
      </c>
      <c r="AF219" s="372">
        <f ca="1">IF(Table2[[#This Row],[Start Date]]&gt;TODAY(),1,)</f>
        <v>0</v>
      </c>
      <c r="AG219" s="372">
        <f>IF(ISBLANK(Table2[[#This Row],[Primary Instructor]]),0,1)</f>
        <v>1</v>
      </c>
      <c r="AH219" s="372">
        <f>IF(ISBLANK(Table2[[#This Row],[Instructor 2]]),0,1)</f>
        <v>1</v>
      </c>
      <c r="AI219" s="372">
        <f>Table2[[#This Row],[Course Length (Hours)]]/(SUM(Table2[[#This Row],[1]:[2]]))</f>
        <v>12</v>
      </c>
      <c r="AJ219" s="372">
        <v>2</v>
      </c>
      <c r="AK219" s="396">
        <v>2</v>
      </c>
    </row>
    <row r="220" spans="1:37" s="373" customFormat="1" x14ac:dyDescent="0.25">
      <c r="A220" s="429"/>
      <c r="B220" s="435" t="s">
        <v>34</v>
      </c>
      <c r="C220" s="367" t="str">
        <f>VLOOKUP(Table2[[#This Row],[Course Title]],'TSD-Data'!$A$1:$E$56,2,FALSE)</f>
        <v>A-493-0216</v>
      </c>
      <c r="D220" s="367" t="str">
        <f>VLOOKUP(Table2[[#This Row],[Course Title]],'TSD-Data'!$A$1:$E$56,3,FALSE)</f>
        <v>12X8</v>
      </c>
      <c r="E220" s="399" t="s">
        <v>220</v>
      </c>
      <c r="F220" s="478">
        <v>45735</v>
      </c>
      <c r="G220" s="478">
        <v>45735</v>
      </c>
      <c r="H220" s="370">
        <v>0.33333333333333331</v>
      </c>
      <c r="I220" s="392"/>
      <c r="J220" s="392"/>
      <c r="K220" s="392"/>
      <c r="L220" s="392"/>
      <c r="M220" s="392"/>
      <c r="N220" s="392"/>
      <c r="O220" s="389" t="s">
        <v>280</v>
      </c>
      <c r="P220" s="389"/>
      <c r="Q220" s="365"/>
      <c r="R220" s="372">
        <f>VLOOKUP(Table2[[#This Row],[Course Title]],'TSD-Data'!$A$1:$E$56,4,FALSE)</f>
        <v>30</v>
      </c>
      <c r="S220" s="372">
        <f>VLOOKUP(Table2[[#This Row],[Course Title]],'TSD-Data'!$A$1:$F$53,6,FALSE)</f>
        <v>8</v>
      </c>
      <c r="T220" s="372">
        <f>VLOOKUP(Table2[[#This Row],[Course Title]],'TSD-Data'!$A$1:$E$56,5,FALSE)</f>
        <v>1</v>
      </c>
      <c r="U220" s="372">
        <v>24</v>
      </c>
      <c r="V220" s="372">
        <f>Table2[[#This Row],[Quotas]]-Table2[[#This Row],[Open Quotas]]</f>
        <v>27</v>
      </c>
      <c r="W220" s="372">
        <v>0</v>
      </c>
      <c r="X220" s="372">
        <v>26</v>
      </c>
      <c r="Y220" s="394">
        <v>0</v>
      </c>
      <c r="Z220" s="372">
        <v>3</v>
      </c>
      <c r="AA220" s="372">
        <v>2</v>
      </c>
      <c r="AB220" s="372">
        <v>0</v>
      </c>
      <c r="AC220" s="372" t="s">
        <v>287</v>
      </c>
      <c r="AD220" s="394">
        <f ca="1">Table2[[#This Row],[End Date]]+2-TODAY()</f>
        <v>-40</v>
      </c>
      <c r="AE220" s="372">
        <f>IF(ISBLANK(Table2[[#This Row],[Received by]]),1,0)</f>
        <v>0</v>
      </c>
      <c r="AF220" s="372">
        <f ca="1">IF(Table2[[#This Row],[Start Date]]&gt;TODAY(),1,)</f>
        <v>0</v>
      </c>
      <c r="AG220" s="372">
        <f>IF(ISBLANK(Table2[[#This Row],[Primary Instructor]]),0,1)</f>
        <v>1</v>
      </c>
      <c r="AH220" s="372">
        <f>IF(ISBLANK(Table2[[#This Row],[Instructor 2]]),0,1)</f>
        <v>0</v>
      </c>
      <c r="AI220" s="372">
        <f>Table2[[#This Row],[Course Length (Hours)]]/(SUM(Table2[[#This Row],[1]:[2]]))</f>
        <v>8</v>
      </c>
      <c r="AJ220" s="372">
        <v>3</v>
      </c>
      <c r="AK220" s="396">
        <v>2</v>
      </c>
    </row>
    <row r="221" spans="1:37" s="373" customFormat="1" x14ac:dyDescent="0.25">
      <c r="A221" s="437"/>
      <c r="B221" s="435" t="s">
        <v>35</v>
      </c>
      <c r="C221" s="374" t="str">
        <f>VLOOKUP(Table2[[#This Row],[Course Title]],'TSD-Data'!$A$1:$E$56,2,FALSE)</f>
        <v>A-493-2501</v>
      </c>
      <c r="D221" s="374" t="str">
        <f>VLOOKUP(Table2[[#This Row],[Course Title]],'TSD-Data'!$A$1:$E$56,3,FALSE)</f>
        <v>05ZE</v>
      </c>
      <c r="E221" s="477" t="s">
        <v>220</v>
      </c>
      <c r="F221" s="478">
        <v>45736</v>
      </c>
      <c r="G221" s="478">
        <v>45736</v>
      </c>
      <c r="H221" s="377">
        <v>0.33333333333333331</v>
      </c>
      <c r="I221" s="412"/>
      <c r="J221" s="412"/>
      <c r="K221" s="412"/>
      <c r="L221" s="412"/>
      <c r="M221" s="412"/>
      <c r="N221" s="412"/>
      <c r="O221" s="401" t="s">
        <v>280</v>
      </c>
      <c r="P221" s="401"/>
      <c r="Q221" s="365"/>
      <c r="R221" s="378">
        <f>VLOOKUP(Table2[[#This Row],[Course Title]],'TSD-Data'!$A$1:$E$56,4,FALSE)</f>
        <v>30</v>
      </c>
      <c r="S221" s="378">
        <f>VLOOKUP(Table2[[#This Row],[Course Title]],'TSD-Data'!$A$1:$F$53,6,FALSE)</f>
        <v>8</v>
      </c>
      <c r="T221" s="378">
        <f>VLOOKUP(Table2[[#This Row],[Course Title]],'TSD-Data'!$A$1:$E$56,5,FALSE)</f>
        <v>1</v>
      </c>
      <c r="U221" s="378">
        <v>28</v>
      </c>
      <c r="V221" s="378">
        <f>Table2[[#This Row],[Quotas]]-Table2[[#This Row],[Open Quotas]]</f>
        <v>8</v>
      </c>
      <c r="W221" s="378">
        <v>0</v>
      </c>
      <c r="X221" s="378">
        <v>5</v>
      </c>
      <c r="Y221" s="403">
        <v>0</v>
      </c>
      <c r="Z221" s="378">
        <v>3</v>
      </c>
      <c r="AA221" s="378">
        <v>0</v>
      </c>
      <c r="AB221" s="374">
        <v>0</v>
      </c>
      <c r="AC221" s="378" t="s">
        <v>287</v>
      </c>
      <c r="AD221" s="403">
        <f ca="1">Table2[[#This Row],[End Date]]+2-TODAY()</f>
        <v>-39</v>
      </c>
      <c r="AE221" s="378">
        <f>IF(ISBLANK(Table2[[#This Row],[Received by]]),1,0)</f>
        <v>0</v>
      </c>
      <c r="AF221" s="378">
        <f ca="1">IF(Table2[[#This Row],[Start Date]]&gt;TODAY(),1,)</f>
        <v>0</v>
      </c>
      <c r="AG221" s="378">
        <f>IF(ISBLANK(Table2[[#This Row],[Primary Instructor]]),0,1)</f>
        <v>1</v>
      </c>
      <c r="AH221" s="378">
        <f>IF(ISBLANK(Table2[[#This Row],[Instructor 2]]),0,1)</f>
        <v>0</v>
      </c>
      <c r="AI221" s="378">
        <f>Table2[[#This Row],[Course Length (Hours)]]/(SUM(Table2[[#This Row],[1]:[2]]))</f>
        <v>8</v>
      </c>
      <c r="AJ221" s="378">
        <v>22</v>
      </c>
      <c r="AK221" s="526">
        <v>2</v>
      </c>
    </row>
    <row r="222" spans="1:37" s="373" customFormat="1" x14ac:dyDescent="0.25">
      <c r="A222" s="429"/>
      <c r="B222" s="435" t="s">
        <v>37</v>
      </c>
      <c r="C222" s="367" t="str">
        <f>VLOOKUP(Table2[[#This Row],[Course Title]],'TSD-Data'!$A$1:$E$56,2,FALSE)</f>
        <v>A-493-0665</v>
      </c>
      <c r="D222" s="367" t="str">
        <f>VLOOKUP(Table2[[#This Row],[Course Title]],'TSD-Data'!$A$1:$E$56,3,FALSE)</f>
        <v>10KW</v>
      </c>
      <c r="E222" s="477" t="s">
        <v>86</v>
      </c>
      <c r="F222" s="478">
        <v>45740</v>
      </c>
      <c r="G222" s="478">
        <v>45742</v>
      </c>
      <c r="H222" s="370"/>
      <c r="I222" s="370">
        <v>0.79166666666666663</v>
      </c>
      <c r="J222" s="381">
        <v>0.66666666666666663</v>
      </c>
      <c r="K222" s="381">
        <v>8.3333333333333329E-2</v>
      </c>
      <c r="L222" s="381">
        <v>0</v>
      </c>
      <c r="M222" s="381">
        <v>0.54166666666666663</v>
      </c>
      <c r="N222" s="381">
        <v>0.33333333333333331</v>
      </c>
      <c r="O222" s="389" t="s">
        <v>286</v>
      </c>
      <c r="P222" s="389"/>
      <c r="Q222" s="365"/>
      <c r="R222" s="372">
        <f>VLOOKUP(Table2[[#This Row],[Course Title]],'TSD-Data'!$A$1:$E$56,4,FALSE)</f>
        <v>45</v>
      </c>
      <c r="S222" s="372">
        <f>VLOOKUP(Table2[[#This Row],[Course Title]],'TSD-Data'!$A$1:$F$53,6,FALSE)</f>
        <v>24</v>
      </c>
      <c r="T222" s="372">
        <f>VLOOKUP(Table2[[#This Row],[Course Title]],'TSD-Data'!$A$1:$E$56,5,FALSE)</f>
        <v>3</v>
      </c>
      <c r="U222" s="372">
        <v>39</v>
      </c>
      <c r="V222" s="372">
        <f>Table2[[#This Row],[Quotas]]-Table2[[#This Row],[Open Quotas]]</f>
        <v>40</v>
      </c>
      <c r="W222" s="372">
        <v>0</v>
      </c>
      <c r="X222" s="372">
        <v>32</v>
      </c>
      <c r="Y222" s="394">
        <v>2</v>
      </c>
      <c r="Z222" s="372">
        <v>6</v>
      </c>
      <c r="AA222" s="372">
        <v>0</v>
      </c>
      <c r="AB222" s="372">
        <v>0</v>
      </c>
      <c r="AC222" s="372" t="s">
        <v>287</v>
      </c>
      <c r="AD222" s="394">
        <f ca="1">Table2[[#This Row],[End Date]]+2-TODAY()</f>
        <v>-33</v>
      </c>
      <c r="AE222" s="372">
        <f>IF(ISBLANK(Table2[[#This Row],[Received by]]),1,0)</f>
        <v>0</v>
      </c>
      <c r="AF222" s="372">
        <f ca="1">IF(Table2[[#This Row],[Start Date]]&gt;TODAY(),1,)</f>
        <v>0</v>
      </c>
      <c r="AG222" s="372">
        <f>IF(ISBLANK(Table2[[#This Row],[Primary Instructor]]),0,1)</f>
        <v>1</v>
      </c>
      <c r="AH222" s="372">
        <f>IF(ISBLANK(Table2[[#This Row],[Instructor 2]]),0,1)</f>
        <v>0</v>
      </c>
      <c r="AI222" s="372">
        <f>Table2[[#This Row],[Course Length (Hours)]]/(SUM(Table2[[#This Row],[1]:[2]]))</f>
        <v>24</v>
      </c>
      <c r="AJ222" s="372">
        <v>5</v>
      </c>
      <c r="AK222" s="396">
        <v>2</v>
      </c>
    </row>
    <row r="223" spans="1:37" s="408" customFormat="1" x14ac:dyDescent="0.25">
      <c r="A223" s="429" t="s">
        <v>535</v>
      </c>
      <c r="B223" s="436" t="s">
        <v>358</v>
      </c>
      <c r="C223" s="427" t="str">
        <f>VLOOKUP(Table2[[#This Row],[Course Title]],'TSD-Data'!$A$1:$E$56,2,FALSE)</f>
        <v>Reserved</v>
      </c>
      <c r="D223" s="427"/>
      <c r="E223" s="433" t="s">
        <v>198</v>
      </c>
      <c r="F223" s="418">
        <v>45740</v>
      </c>
      <c r="G223" s="418">
        <v>45744</v>
      </c>
      <c r="H223" s="422"/>
      <c r="I223" s="422"/>
      <c r="J223" s="420"/>
      <c r="K223" s="420"/>
      <c r="L223" s="420"/>
      <c r="M223" s="420"/>
      <c r="N223" s="420"/>
      <c r="O223" s="429"/>
      <c r="P223" s="429"/>
      <c r="Q223" s="429"/>
      <c r="R223" s="414">
        <f>VLOOKUP(Table2[[#This Row],[Course Title]],'TSD-Data'!$A$1:$E$56,4,FALSE)</f>
        <v>0</v>
      </c>
      <c r="S223" s="414">
        <f>VLOOKUP(Table2[[#This Row],[Course Title]],'TSD-Data'!$A$1:$F$53,6,FALSE)</f>
        <v>0</v>
      </c>
      <c r="T223" s="447">
        <v>0</v>
      </c>
      <c r="U223" s="414">
        <v>0</v>
      </c>
      <c r="V223" s="414">
        <f>Table2[[#This Row],[Quotas]]-Table2[[#This Row],[Open Quotas]]</f>
        <v>0</v>
      </c>
      <c r="W223" s="414">
        <v>0</v>
      </c>
      <c r="X223" s="419">
        <v>0</v>
      </c>
      <c r="Y223" s="419">
        <v>0</v>
      </c>
      <c r="Z223" s="414">
        <v>0</v>
      </c>
      <c r="AA223" s="414">
        <v>0</v>
      </c>
      <c r="AB223" s="414">
        <v>0</v>
      </c>
      <c r="AC223" s="414" t="s">
        <v>285</v>
      </c>
      <c r="AD223" s="419">
        <f ca="1">Table2[[#This Row],[End Date]]+2-TODAY()</f>
        <v>-31</v>
      </c>
      <c r="AE223" s="414">
        <f>IF(ISBLANK(Table2[[#This Row],[Received by]]),1,0)</f>
        <v>0</v>
      </c>
      <c r="AF223" s="414">
        <f ca="1">IF(Table2[[#This Row],[Start Date]]&gt;TODAY(),1,)</f>
        <v>0</v>
      </c>
      <c r="AG223" s="414">
        <f>IF(ISBLANK(Table2[[#This Row],[Primary Instructor]]),0,1)</f>
        <v>0</v>
      </c>
      <c r="AH223" s="414">
        <f>IF(ISBLANK(Table2[[#This Row],[Instructor 2]]),0,1)</f>
        <v>0</v>
      </c>
      <c r="AI223" s="414" t="e">
        <f>Table2[[#This Row],[Course Length (Hours)]]/(SUM(Table2[[#This Row],[1]:[2]]))</f>
        <v>#DIV/0!</v>
      </c>
      <c r="AJ223" s="414"/>
      <c r="AK223" s="414"/>
    </row>
    <row r="224" spans="1:37" s="373" customFormat="1" x14ac:dyDescent="0.25">
      <c r="A224" s="429"/>
      <c r="B224" s="435" t="s">
        <v>55</v>
      </c>
      <c r="C224" s="367" t="str">
        <f>VLOOKUP(Table2[[#This Row],[Course Title]],'TSD-Data'!$A$1:$E$56,2,FALSE)</f>
        <v>A-493-0103</v>
      </c>
      <c r="D224" s="367" t="s">
        <v>105</v>
      </c>
      <c r="E224" s="411" t="s">
        <v>224</v>
      </c>
      <c r="F224" s="416">
        <v>45740</v>
      </c>
      <c r="G224" s="416">
        <v>45744</v>
      </c>
      <c r="H224" s="370">
        <v>0.33333333333333331</v>
      </c>
      <c r="I224" s="370"/>
      <c r="J224" s="391"/>
      <c r="K224" s="397"/>
      <c r="L224" s="397"/>
      <c r="M224" s="397"/>
      <c r="N224" s="397"/>
      <c r="O224" s="389" t="s">
        <v>314</v>
      </c>
      <c r="P224" s="389"/>
      <c r="Q224" s="389"/>
      <c r="R224" s="372">
        <f>VLOOKUP(Table2[[#This Row],[Course Title]],'TSD-Data'!$A$1:$E$56,4,FALSE)</f>
        <v>25</v>
      </c>
      <c r="S224" s="372">
        <f>VLOOKUP(Table2[[#This Row],[Course Title]],'TSD-Data'!$A$1:$F$53,6,FALSE)</f>
        <v>40</v>
      </c>
      <c r="T224" s="395">
        <v>5</v>
      </c>
      <c r="U224" s="372">
        <v>16</v>
      </c>
      <c r="V224" s="372">
        <f>Table2[[#This Row],[Quotas]]-Table2[[#This Row],[Open Quotas]]</f>
        <v>5</v>
      </c>
      <c r="W224" s="372">
        <v>0</v>
      </c>
      <c r="X224" s="394">
        <v>7</v>
      </c>
      <c r="Y224" s="394">
        <v>0</v>
      </c>
      <c r="Z224" s="372">
        <v>3</v>
      </c>
      <c r="AA224" s="372">
        <v>0</v>
      </c>
      <c r="AB224" s="372">
        <v>0</v>
      </c>
      <c r="AC224" s="372" t="s">
        <v>291</v>
      </c>
      <c r="AD224" s="394">
        <f ca="1">Table2[[#This Row],[End Date]]+2-TODAY()</f>
        <v>-31</v>
      </c>
      <c r="AE224" s="372">
        <f>IF(ISBLANK(Table2[[#This Row],[Received by]]),1,0)</f>
        <v>0</v>
      </c>
      <c r="AF224" s="372">
        <f ca="1">IF(Table2[[#This Row],[Start Date]]&gt;TODAY(),1,)</f>
        <v>0</v>
      </c>
      <c r="AG224" s="372">
        <f>IF(ISBLANK(Table2[[#This Row],[Primary Instructor]]),0,1)</f>
        <v>1</v>
      </c>
      <c r="AH224" s="372">
        <f>IF(ISBLANK(Table2[[#This Row],[Instructor 2]]),0,1)</f>
        <v>0</v>
      </c>
      <c r="AI224" s="372">
        <f>Table2[[#This Row],[Course Length (Hours)]]/(SUM(Table2[[#This Row],[1]:[2]]))</f>
        <v>40</v>
      </c>
      <c r="AJ224" s="372">
        <v>20</v>
      </c>
      <c r="AK224" s="372">
        <v>2</v>
      </c>
    </row>
    <row r="225" spans="1:37" s="373" customFormat="1" x14ac:dyDescent="0.25">
      <c r="A225" s="425"/>
      <c r="B225" s="435" t="s">
        <v>55</v>
      </c>
      <c r="C225" s="367" t="str">
        <f>VLOOKUP(Table2[[#This Row],[Course Title]],'TSD-Data'!$A$1:$E$56,2,FALSE)</f>
        <v>A-493-0103</v>
      </c>
      <c r="D225" s="367" t="str">
        <f>VLOOKUP(Table2[[#This Row],[Course Title]],'TSD-Data'!$A$1:$E$56,3,FALSE)</f>
        <v>12JY</v>
      </c>
      <c r="E225" s="384" t="s">
        <v>212</v>
      </c>
      <c r="F225" s="416">
        <v>45740</v>
      </c>
      <c r="G225" s="416">
        <v>45744</v>
      </c>
      <c r="H225" s="370">
        <v>0.33333333333333331</v>
      </c>
      <c r="I225" s="392"/>
      <c r="J225" s="393"/>
      <c r="K225" s="393"/>
      <c r="L225" s="393"/>
      <c r="M225" s="393"/>
      <c r="N225" s="393"/>
      <c r="O225" s="389" t="s">
        <v>314</v>
      </c>
      <c r="P225" s="389"/>
      <c r="Q225" s="365"/>
      <c r="R225" s="372">
        <f>VLOOKUP(Table2[[#This Row],[Course Title]],'TSD-Data'!$A$1:$E$56,4,FALSE)</f>
        <v>25</v>
      </c>
      <c r="S225" s="372">
        <f>VLOOKUP(Table2[[#This Row],[Course Title]],'TSD-Data'!$A$1:$F$53,6,FALSE)</f>
        <v>40</v>
      </c>
      <c r="T225" s="372">
        <f>VLOOKUP(Table2[[#This Row],[Course Title]],'TSD-Data'!$A$1:$E$56,5,FALSE)</f>
        <v>5</v>
      </c>
      <c r="U225" s="372">
        <v>248</v>
      </c>
      <c r="V225" s="372">
        <f>Table2[[#This Row],[Quotas]]-Table2[[#This Row],[Open Quotas]]</f>
        <v>19</v>
      </c>
      <c r="W225" s="372">
        <v>0</v>
      </c>
      <c r="X225" s="372">
        <v>18</v>
      </c>
      <c r="Y225" s="394">
        <v>0</v>
      </c>
      <c r="Z225" s="372">
        <v>6</v>
      </c>
      <c r="AA225" s="372">
        <v>0</v>
      </c>
      <c r="AB225" s="367">
        <v>0</v>
      </c>
      <c r="AC225" s="372" t="s">
        <v>291</v>
      </c>
      <c r="AD225" s="394">
        <f ca="1">Table2[[#This Row],[End Date]]+2-TODAY()</f>
        <v>-31</v>
      </c>
      <c r="AE225" s="372">
        <f>IF(ISBLANK(Table2[[#This Row],[Received by]]),1,0)</f>
        <v>0</v>
      </c>
      <c r="AF225" s="372">
        <f ca="1">IF(Table2[[#This Row],[Start Date]]&gt;TODAY(),1,)</f>
        <v>0</v>
      </c>
      <c r="AG225" s="372">
        <f>IF(ISBLANK(Table2[[#This Row],[Primary Instructor]]),0,1)</f>
        <v>1</v>
      </c>
      <c r="AH225" s="372">
        <f>IF(ISBLANK(Table2[[#This Row],[Instructor 2]]),0,1)</f>
        <v>0</v>
      </c>
      <c r="AI225" s="372">
        <f>Table2[[#This Row],[Course Length (Hours)]]/(SUM(Table2[[#This Row],[1]:[2]]))</f>
        <v>40</v>
      </c>
      <c r="AJ225" s="372">
        <v>6</v>
      </c>
      <c r="AK225" s="396">
        <v>2</v>
      </c>
    </row>
    <row r="226" spans="1:37" s="373" customFormat="1" x14ac:dyDescent="0.25">
      <c r="A226" s="429" t="s">
        <v>404</v>
      </c>
      <c r="B226" s="435" t="s">
        <v>17</v>
      </c>
      <c r="C226" s="367" t="str">
        <f>VLOOKUP(Table2[[#This Row],[Course Title]],'TSD-Data'!$A$1:$E$56,2,FALSE)</f>
        <v>A-493-0012</v>
      </c>
      <c r="D226" s="367">
        <f>VLOOKUP(Table2[[#This Row],[Course Title]],'TSD-Data'!$A$1:$E$56,3,FALSE)</f>
        <v>3682</v>
      </c>
      <c r="E226" s="411" t="s">
        <v>163</v>
      </c>
      <c r="F226" s="416">
        <v>45740</v>
      </c>
      <c r="G226" s="416">
        <v>45744</v>
      </c>
      <c r="H226" s="377">
        <v>0.33333333333333331</v>
      </c>
      <c r="I226" s="377"/>
      <c r="J226" s="397"/>
      <c r="K226" s="391"/>
      <c r="L226" s="391"/>
      <c r="M226" s="397"/>
      <c r="N226" s="391"/>
      <c r="O226" s="401" t="s">
        <v>283</v>
      </c>
      <c r="P226" s="389"/>
      <c r="Q226" s="365"/>
      <c r="R226" s="394">
        <f>VLOOKUP(Table2[[#This Row],[Course Title]],'TSD-Data'!$A$1:$E$56,4,FALSE)</f>
        <v>40</v>
      </c>
      <c r="S226" s="372">
        <f>VLOOKUP(Table2[[#This Row],[Course Title]],'TSD-Data'!$A$1:$F$53,6,FALSE)</f>
        <v>40</v>
      </c>
      <c r="T226" s="395">
        <f>VLOOKUP(Table2[[#This Row],[Course Title]],'TSD-Data'!$A$1:$E$56,5,FALSE)</f>
        <v>5</v>
      </c>
      <c r="U226" s="395">
        <v>0</v>
      </c>
      <c r="V226" s="372">
        <f>Table2[[#This Row],[Quotas]]-Table2[[#This Row],[Open Quotas]]</f>
        <v>11</v>
      </c>
      <c r="W226" s="372">
        <v>0</v>
      </c>
      <c r="X226" s="394">
        <v>30</v>
      </c>
      <c r="Y226" s="394">
        <v>0</v>
      </c>
      <c r="Z226" s="372">
        <v>2</v>
      </c>
      <c r="AA226" s="372">
        <v>0</v>
      </c>
      <c r="AB226" s="372">
        <v>0</v>
      </c>
      <c r="AC226" s="372" t="s">
        <v>287</v>
      </c>
      <c r="AD226" s="394">
        <f ca="1">Table2[[#This Row],[End Date]]+2-TODAY()</f>
        <v>-31</v>
      </c>
      <c r="AE226" s="372">
        <f>IF(ISBLANK(Table2[[#This Row],[Received by]]),1,0)</f>
        <v>0</v>
      </c>
      <c r="AF226" s="372">
        <f ca="1">IF(Table2[[#This Row],[Start Date]]&gt;TODAY(),1,)</f>
        <v>0</v>
      </c>
      <c r="AG226" s="372">
        <f>IF(ISBLANK(Table2[[#This Row],[Primary Instructor]]),0,1)</f>
        <v>1</v>
      </c>
      <c r="AH226" s="372">
        <f>IF(ISBLANK(Table2[[#This Row],[Instructor 2]]),0,1)</f>
        <v>0</v>
      </c>
      <c r="AI226" s="372">
        <f>Table2[[#This Row],[Course Length (Hours)]]/(SUM(Table2[[#This Row],[1]:[2]]))</f>
        <v>40</v>
      </c>
      <c r="AJ226" s="372">
        <v>29</v>
      </c>
      <c r="AK226" s="396">
        <v>2</v>
      </c>
    </row>
    <row r="227" spans="1:37" s="373" customFormat="1" x14ac:dyDescent="0.25">
      <c r="A227" s="429" t="s">
        <v>536</v>
      </c>
      <c r="B227" s="435" t="s">
        <v>17</v>
      </c>
      <c r="C227" s="367" t="str">
        <f>VLOOKUP(Table2[[#This Row],[Course Title]],'TSD-Data'!$A$1:$E$56,2,FALSE)</f>
        <v>A-493-0012</v>
      </c>
      <c r="D227" s="367">
        <f>VLOOKUP(Table2[[#This Row],[Course Title]],'TSD-Data'!$A$1:$E$56,3,FALSE)</f>
        <v>3682</v>
      </c>
      <c r="E227" s="384" t="s">
        <v>166</v>
      </c>
      <c r="F227" s="416">
        <v>45740</v>
      </c>
      <c r="G227" s="416">
        <v>45744</v>
      </c>
      <c r="H227" s="370">
        <v>0.33333333333333331</v>
      </c>
      <c r="I227" s="370"/>
      <c r="J227" s="392"/>
      <c r="K227" s="392"/>
      <c r="L227" s="392"/>
      <c r="M227" s="392"/>
      <c r="N227" s="412"/>
      <c r="O227" s="389" t="s">
        <v>289</v>
      </c>
      <c r="P227" s="389"/>
      <c r="Q227" s="365"/>
      <c r="R227" s="372">
        <f>VLOOKUP(Table2[[#This Row],[Course Title]],'TSD-Data'!$A$1:$E$56,4,FALSE)</f>
        <v>40</v>
      </c>
      <c r="S227" s="372">
        <f>VLOOKUP(Table2[[#This Row],[Course Title]],'TSD-Data'!$A$1:$F$53,6,FALSE)</f>
        <v>40</v>
      </c>
      <c r="T227" s="372">
        <f>VLOOKUP(Table2[[#This Row],[Course Title]],'TSD-Data'!$A$1:$E$56,5,FALSE)</f>
        <v>5</v>
      </c>
      <c r="U227" s="372">
        <v>0</v>
      </c>
      <c r="V227" s="372">
        <f>Table2[[#This Row],[Quotas]]-Table2[[#This Row],[Open Quotas]]</f>
        <v>32</v>
      </c>
      <c r="W227" s="372">
        <v>0</v>
      </c>
      <c r="X227" s="372">
        <v>19</v>
      </c>
      <c r="Y227" s="394">
        <v>0</v>
      </c>
      <c r="Z227" s="372">
        <v>0</v>
      </c>
      <c r="AA227" s="372">
        <v>10</v>
      </c>
      <c r="AB227" s="367">
        <v>0</v>
      </c>
      <c r="AC227" s="372" t="s">
        <v>287</v>
      </c>
      <c r="AD227" s="394">
        <f ca="1">Table2[[#This Row],[End Date]]+2-TODAY()</f>
        <v>-31</v>
      </c>
      <c r="AE227" s="372">
        <f>IF(ISBLANK(Table2[[#This Row],[Received by]]),1,0)</f>
        <v>0</v>
      </c>
      <c r="AF227" s="372">
        <f ca="1">IF(Table2[[#This Row],[Start Date]]&gt;TODAY(),1,)</f>
        <v>0</v>
      </c>
      <c r="AG227" s="372">
        <f>IF(ISBLANK(Table2[[#This Row],[Primary Instructor]]),0,1)</f>
        <v>1</v>
      </c>
      <c r="AH227" s="372">
        <f>IF(ISBLANK(Table2[[#This Row],[Instructor 2]]),0,1)</f>
        <v>0</v>
      </c>
      <c r="AI227" s="372">
        <f>Table2[[#This Row],[Course Length (Hours)]]/(SUM(Table2[[#This Row],[1]:[2]]))</f>
        <v>40</v>
      </c>
      <c r="AJ227" s="372">
        <v>8</v>
      </c>
      <c r="AK227" s="396">
        <v>2</v>
      </c>
    </row>
    <row r="228" spans="1:37" s="373" customFormat="1" x14ac:dyDescent="0.25">
      <c r="A228" s="449" t="s">
        <v>523</v>
      </c>
      <c r="B228" s="435" t="s">
        <v>15</v>
      </c>
      <c r="C228" s="367" t="str">
        <f>VLOOKUP(Table2[[#This Row],[Course Title]],'TSD-Data'!$A$1:$E$56,2,FALSE)</f>
        <v>A-4J-0022</v>
      </c>
      <c r="D228" s="367" t="str">
        <f>VLOOKUP(Table2[[#This Row],[Course Title]],'TSD-Data'!$A$1:$E$56,3,FALSE)</f>
        <v>09ER</v>
      </c>
      <c r="E228" s="411" t="s">
        <v>86</v>
      </c>
      <c r="F228" s="416">
        <v>45741</v>
      </c>
      <c r="G228" s="416">
        <v>45742</v>
      </c>
      <c r="H228" s="370"/>
      <c r="I228" s="381">
        <v>0.79166666666666663</v>
      </c>
      <c r="J228" s="381">
        <v>0.66666666666666663</v>
      </c>
      <c r="K228" s="381">
        <v>0.125</v>
      </c>
      <c r="L228" s="381">
        <v>4.1666666666666664E-2</v>
      </c>
      <c r="M228" s="381">
        <v>0.58333333333333337</v>
      </c>
      <c r="N228" s="381">
        <v>0.375</v>
      </c>
      <c r="O228" s="389" t="s">
        <v>272</v>
      </c>
      <c r="P228" s="389"/>
      <c r="Q228" s="389"/>
      <c r="R228" s="372">
        <f>VLOOKUP(Table2[[#This Row],[Course Title]],'TSD-Data'!$A$1:$E$56,4,FALSE)</f>
        <v>45</v>
      </c>
      <c r="S228" s="372">
        <f>VLOOKUP(Table2[[#This Row],[Course Title]],'TSD-Data'!$A$1:$F$53,6,FALSE)</f>
        <v>16</v>
      </c>
      <c r="T228" s="395"/>
      <c r="U228" s="372">
        <v>58</v>
      </c>
      <c r="V228" s="372">
        <f>Table2[[#This Row],[Quotas]]-Table2[[#This Row],[Open Quotas]]</f>
        <v>45</v>
      </c>
      <c r="W228" s="372">
        <v>0</v>
      </c>
      <c r="X228" s="395">
        <v>36</v>
      </c>
      <c r="Y228" s="395">
        <v>3</v>
      </c>
      <c r="Z228" s="367">
        <v>11</v>
      </c>
      <c r="AA228" s="367">
        <v>0</v>
      </c>
      <c r="AB228" s="395">
        <v>0</v>
      </c>
      <c r="AC228" s="372" t="s">
        <v>287</v>
      </c>
      <c r="AD228" s="394">
        <f ca="1">Table2[[#This Row],[End Date]]+2-TODAY()</f>
        <v>-33</v>
      </c>
      <c r="AE228" s="372">
        <f>IF(ISBLANK(Table2[[#This Row],[Received by]]),1,0)</f>
        <v>0</v>
      </c>
      <c r="AF228" s="372">
        <f ca="1">IF(Table2[[#This Row],[Start Date]]&gt;TODAY(),1,)</f>
        <v>0</v>
      </c>
      <c r="AG228" s="372">
        <f>IF(ISBLANK(Table2[[#This Row],[Primary Instructor]]),0,1)</f>
        <v>1</v>
      </c>
      <c r="AH228" s="372">
        <f>IF(ISBLANK(Table2[[#This Row],[Instructor 2]]),0,1)</f>
        <v>0</v>
      </c>
      <c r="AI228" s="372">
        <f>Table2[[#This Row],[Course Length (Hours)]]/(SUM(Table2[[#This Row],[1]:[2]]))</f>
        <v>16</v>
      </c>
      <c r="AJ228" s="372"/>
      <c r="AK228" s="372"/>
    </row>
    <row r="229" spans="1:37" s="373" customFormat="1" x14ac:dyDescent="0.25">
      <c r="A229" s="429"/>
      <c r="B229" s="435" t="s">
        <v>31</v>
      </c>
      <c r="C229" s="367" t="str">
        <f>VLOOKUP(Table2[[#This Row],[Course Title]],'TSD-Data'!$A$1:$E$56,2,FALSE)</f>
        <v>A-493-0083</v>
      </c>
      <c r="D229" s="367" t="str">
        <f>VLOOKUP(Table2[[#This Row],[Course Title]],'TSD-Data'!$A$1:$E$56,3,FALSE)</f>
        <v>339E</v>
      </c>
      <c r="E229" s="366" t="s">
        <v>176</v>
      </c>
      <c r="F229" s="416">
        <v>45743</v>
      </c>
      <c r="G229" s="416">
        <v>45743</v>
      </c>
      <c r="H229" s="370">
        <v>0.33333333333333331</v>
      </c>
      <c r="I229" s="370"/>
      <c r="J229" s="392"/>
      <c r="K229" s="392"/>
      <c r="L229" s="392"/>
      <c r="M229" s="392"/>
      <c r="N229" s="392"/>
      <c r="O229" s="389" t="s">
        <v>280</v>
      </c>
      <c r="P229" s="389"/>
      <c r="Q229" s="365"/>
      <c r="R229" s="372">
        <f>VLOOKUP(Table2[[#This Row],[Course Title]],'TSD-Data'!$A$1:$E$56,4,FALSE)</f>
        <v>30</v>
      </c>
      <c r="S229" s="372">
        <f>VLOOKUP(Table2[[#This Row],[Course Title]],'TSD-Data'!$A$1:$F$53,6,FALSE)</f>
        <v>8</v>
      </c>
      <c r="T229" s="372">
        <f>VLOOKUP(Table2[[#This Row],[Course Title]],'TSD-Data'!$A$1:$E$56,5,FALSE)</f>
        <v>1</v>
      </c>
      <c r="U229" s="372">
        <v>61</v>
      </c>
      <c r="V229" s="372">
        <f>Table2[[#This Row],[Quotas]]-Table2[[#This Row],[Open Quotas]]</f>
        <v>11</v>
      </c>
      <c r="W229" s="372">
        <v>0</v>
      </c>
      <c r="X229" s="372">
        <v>10</v>
      </c>
      <c r="Y229" s="394">
        <v>0</v>
      </c>
      <c r="Z229" s="372">
        <v>1</v>
      </c>
      <c r="AA229" s="372">
        <v>0</v>
      </c>
      <c r="AB229" s="372">
        <v>0</v>
      </c>
      <c r="AC229" s="372" t="s">
        <v>287</v>
      </c>
      <c r="AD229" s="394">
        <f ca="1">Table2[[#This Row],[End Date]]+2-TODAY()</f>
        <v>-32</v>
      </c>
      <c r="AE229" s="372">
        <f>IF(ISBLANK(Table2[[#This Row],[Received by]]),1,0)</f>
        <v>0</v>
      </c>
      <c r="AF229" s="372">
        <f ca="1">IF(Table2[[#This Row],[Start Date]]&gt;TODAY(),1,)</f>
        <v>0</v>
      </c>
      <c r="AG229" s="372">
        <f>IF(ISBLANK(Table2[[#This Row],[Primary Instructor]]),0,1)</f>
        <v>1</v>
      </c>
      <c r="AH229" s="372">
        <f>IF(ISBLANK(Table2[[#This Row],[Instructor 2]]),0,1)</f>
        <v>0</v>
      </c>
      <c r="AI229" s="372">
        <f>Table2[[#This Row],[Course Length (Hours)]]/(SUM(Table2[[#This Row],[1]:[2]]))</f>
        <v>8</v>
      </c>
      <c r="AJ229" s="372">
        <v>19</v>
      </c>
      <c r="AK229" s="396">
        <v>2</v>
      </c>
    </row>
    <row r="230" spans="1:37" s="408" customFormat="1" x14ac:dyDescent="0.25">
      <c r="A230" s="429" t="s">
        <v>537</v>
      </c>
      <c r="B230" s="436" t="s">
        <v>358</v>
      </c>
      <c r="C230" s="427" t="str">
        <f>VLOOKUP(Table2[[#This Row],[Course Title]],'TSD-Data'!$A$1:$E$56,2,FALSE)</f>
        <v>Reserved</v>
      </c>
      <c r="D230" s="427"/>
      <c r="E230" s="433" t="s">
        <v>198</v>
      </c>
      <c r="F230" s="428">
        <v>45747</v>
      </c>
      <c r="G230" s="428">
        <v>45692</v>
      </c>
      <c r="H230" s="422"/>
      <c r="I230" s="422"/>
      <c r="J230" s="420"/>
      <c r="K230" s="420"/>
      <c r="L230" s="420"/>
      <c r="M230" s="420"/>
      <c r="N230" s="420"/>
      <c r="O230" s="429"/>
      <c r="P230" s="429"/>
      <c r="Q230" s="429"/>
      <c r="R230" s="414">
        <f>VLOOKUP(Table2[[#This Row],[Course Title]],'TSD-Data'!$A$1:$E$56,4,FALSE)</f>
        <v>0</v>
      </c>
      <c r="S230" s="414">
        <f>VLOOKUP(Table2[[#This Row],[Course Title]],'TSD-Data'!$A$1:$F$53,6,FALSE)</f>
        <v>0</v>
      </c>
      <c r="T230" s="447">
        <v>0</v>
      </c>
      <c r="U230" s="414">
        <v>0</v>
      </c>
      <c r="V230" s="414">
        <f>Table2[[#This Row],[Quotas]]-Table2[[#This Row],[Open Quotas]]</f>
        <v>0</v>
      </c>
      <c r="W230" s="414">
        <v>0</v>
      </c>
      <c r="X230" s="419">
        <v>0</v>
      </c>
      <c r="Y230" s="419">
        <v>0</v>
      </c>
      <c r="Z230" s="414">
        <v>0</v>
      </c>
      <c r="AA230" s="414">
        <v>0</v>
      </c>
      <c r="AB230" s="414">
        <v>0</v>
      </c>
      <c r="AC230" s="414" t="s">
        <v>285</v>
      </c>
      <c r="AD230" s="419">
        <f ca="1">Table2[[#This Row],[End Date]]+2-TODAY()</f>
        <v>-83</v>
      </c>
      <c r="AE230" s="414">
        <f>IF(ISBLANK(Table2[[#This Row],[Received by]]),1,0)</f>
        <v>0</v>
      </c>
      <c r="AF230" s="414">
        <f ca="1">IF(Table2[[#This Row],[Start Date]]&gt;TODAY(),1,)</f>
        <v>0</v>
      </c>
      <c r="AG230" s="414">
        <f>IF(ISBLANK(Table2[[#This Row],[Primary Instructor]]),0,1)</f>
        <v>0</v>
      </c>
      <c r="AH230" s="414">
        <f>IF(ISBLANK(Table2[[#This Row],[Instructor 2]]),0,1)</f>
        <v>0</v>
      </c>
      <c r="AI230" s="414" t="e">
        <f>Table2[[#This Row],[Course Length (Hours)]]/(SUM(Table2[[#This Row],[1]:[2]]))</f>
        <v>#DIV/0!</v>
      </c>
      <c r="AJ230" s="414"/>
      <c r="AK230" s="414"/>
    </row>
    <row r="231" spans="1:37" s="373" customFormat="1" x14ac:dyDescent="0.25">
      <c r="A231" s="429"/>
      <c r="B231" s="435" t="s">
        <v>17</v>
      </c>
      <c r="C231" s="367" t="str">
        <f>VLOOKUP(Table2[[#This Row],[Course Title]],'TSD-Data'!$A$1:$E$56,2,FALSE)</f>
        <v>A-493-0012</v>
      </c>
      <c r="D231" s="367">
        <f>VLOOKUP(Table2[[#This Row],[Course Title]],'TSD-Data'!$A$1:$E$56,3,FALSE)</f>
        <v>3682</v>
      </c>
      <c r="E231" s="411" t="s">
        <v>203</v>
      </c>
      <c r="F231" s="416">
        <v>45747</v>
      </c>
      <c r="G231" s="416">
        <v>45751</v>
      </c>
      <c r="H231" s="377">
        <v>0.33333333333333331</v>
      </c>
      <c r="I231" s="377"/>
      <c r="J231" s="392"/>
      <c r="K231" s="412"/>
      <c r="L231" s="412"/>
      <c r="M231" s="392"/>
      <c r="N231" s="412"/>
      <c r="O231" s="401" t="s">
        <v>283</v>
      </c>
      <c r="P231" s="389"/>
      <c r="Q231" s="365"/>
      <c r="R231" s="372">
        <f>VLOOKUP(Table2[[#This Row],[Course Title]],'TSD-Data'!$A$1:$E$56,4,FALSE)</f>
        <v>40</v>
      </c>
      <c r="S231" s="372">
        <f>VLOOKUP(Table2[[#This Row],[Course Title]],'TSD-Data'!$A$1:$F$53,6,FALSE)</f>
        <v>40</v>
      </c>
      <c r="T231" s="372">
        <f>VLOOKUP(Table2[[#This Row],[Course Title]],'TSD-Data'!$A$1:$E$56,5,FALSE)</f>
        <v>5</v>
      </c>
      <c r="U231" s="372">
        <v>21</v>
      </c>
      <c r="V231" s="372">
        <f>Table2[[#This Row],[Quotas]]-Table2[[#This Row],[Open Quotas]]</f>
        <v>23</v>
      </c>
      <c r="W231" s="372">
        <v>0</v>
      </c>
      <c r="X231" s="372">
        <v>23</v>
      </c>
      <c r="Y231" s="394">
        <v>0</v>
      </c>
      <c r="Z231" s="372">
        <v>1</v>
      </c>
      <c r="AA231" s="372">
        <v>2</v>
      </c>
      <c r="AB231" s="367">
        <v>0</v>
      </c>
      <c r="AC231" s="372" t="s">
        <v>287</v>
      </c>
      <c r="AD231" s="394">
        <f ca="1">Table2[[#This Row],[End Date]]+2-TODAY()</f>
        <v>-24</v>
      </c>
      <c r="AE231" s="372">
        <f>IF(ISBLANK(Table2[[#This Row],[Received by]]),1,0)</f>
        <v>0</v>
      </c>
      <c r="AF231" s="372">
        <f ca="1">IF(Table2[[#This Row],[Start Date]]&gt;TODAY(),1,)</f>
        <v>0</v>
      </c>
      <c r="AG231" s="372">
        <f>IF(ISBLANK(Table2[[#This Row],[Primary Instructor]]),0,1)</f>
        <v>1</v>
      </c>
      <c r="AH231" s="372">
        <f>IF(ISBLANK(Table2[[#This Row],[Instructor 2]]),0,1)</f>
        <v>0</v>
      </c>
      <c r="AI231" s="372">
        <f>Table2[[#This Row],[Course Length (Hours)]]/(SUM(Table2[[#This Row],[1]:[2]]))</f>
        <v>40</v>
      </c>
      <c r="AJ231" s="372">
        <v>17</v>
      </c>
      <c r="AK231" s="396">
        <v>2</v>
      </c>
    </row>
    <row r="232" spans="1:37" s="373" customFormat="1" x14ac:dyDescent="0.25">
      <c r="A232" s="389"/>
      <c r="B232" s="435" t="s">
        <v>120</v>
      </c>
      <c r="C232" s="367" t="str">
        <f>VLOOKUP(Table2[[#This Row],[Course Title]],'TSD-Data'!$A$1:$E$56,2,FALSE)</f>
        <v>A-322-2604</v>
      </c>
      <c r="D232" s="367" t="str">
        <f>VLOOKUP(Table2[[#This Row],[Course Title]],'TSD-Data'!$A$1:$E$56,3,FALSE)</f>
        <v>10ZZ</v>
      </c>
      <c r="E232" s="411" t="s">
        <v>86</v>
      </c>
      <c r="F232" s="416">
        <v>45747</v>
      </c>
      <c r="G232" s="416">
        <v>45749</v>
      </c>
      <c r="H232" s="370"/>
      <c r="I232" s="381">
        <v>0.5</v>
      </c>
      <c r="J232" s="381">
        <v>0.375</v>
      </c>
      <c r="K232" s="381">
        <v>0.79166666666666663</v>
      </c>
      <c r="L232" s="381">
        <v>0.75</v>
      </c>
      <c r="M232" s="381">
        <v>0.25</v>
      </c>
      <c r="N232" s="381">
        <v>4.1666666666666664E-2</v>
      </c>
      <c r="O232" s="389" t="s">
        <v>288</v>
      </c>
      <c r="P232" s="389"/>
      <c r="Q232" s="365"/>
      <c r="R232" s="394">
        <f>VLOOKUP(Table2[[#This Row],[Course Title]],'TSD-Data'!$A$1:$E$56,4,FALSE)</f>
        <v>45</v>
      </c>
      <c r="S232" s="372">
        <f>VLOOKUP(Table2[[#This Row],[Course Title]],'TSD-Data'!$A$1:$F$53,6,FALSE)</f>
        <v>24</v>
      </c>
      <c r="T232" s="372">
        <f>VLOOKUP(Table2[[#This Row],[Course Title]],'TSD-Data'!$A$1:$E$56,5,FALSE)</f>
        <v>3</v>
      </c>
      <c r="U232" s="372">
        <v>634</v>
      </c>
      <c r="V232" s="372">
        <f>Table2[[#This Row],[Quotas]]-Table2[[#This Row],[Open Quotas]]</f>
        <v>43</v>
      </c>
      <c r="W232" s="372">
        <v>2</v>
      </c>
      <c r="X232" s="394">
        <v>38</v>
      </c>
      <c r="Y232" s="394">
        <v>1</v>
      </c>
      <c r="Z232" s="372">
        <v>5</v>
      </c>
      <c r="AA232" s="372">
        <v>0</v>
      </c>
      <c r="AB232" s="367">
        <v>0</v>
      </c>
      <c r="AC232" s="372" t="s">
        <v>281</v>
      </c>
      <c r="AD232" s="394">
        <f ca="1">Table2[[#This Row],[End Date]]+2-TODAY()</f>
        <v>-26</v>
      </c>
      <c r="AE232" s="372">
        <f>IF(ISBLANK(Table2[[#This Row],[Received by]]),1,0)</f>
        <v>0</v>
      </c>
      <c r="AF232" s="372">
        <f ca="1">IF(Table2[[#This Row],[Start Date]]&gt;TODAY(),1,)</f>
        <v>0</v>
      </c>
      <c r="AG232" s="372">
        <f>IF(ISBLANK(Table2[[#This Row],[Primary Instructor]]),0,1)</f>
        <v>1</v>
      </c>
      <c r="AH232" s="372">
        <f>IF(ISBLANK(Table2[[#This Row],[Instructor 2]]),0,1)</f>
        <v>0</v>
      </c>
      <c r="AI232" s="372">
        <f>Table2[[#This Row],[Course Length (Hours)]]/(SUM(Table2[[#This Row],[1]:[2]]))</f>
        <v>24</v>
      </c>
      <c r="AJ232" s="372">
        <v>2</v>
      </c>
      <c r="AK232" s="396">
        <v>2</v>
      </c>
    </row>
    <row r="233" spans="1:37" s="373" customFormat="1" x14ac:dyDescent="0.25">
      <c r="A233" s="389"/>
      <c r="B233" s="435" t="s">
        <v>59</v>
      </c>
      <c r="C233" s="367" t="str">
        <f>VLOOKUP(Table2[[#This Row],[Course Title]],'TSD-Data'!$A$1:$E$56,2,FALSE)</f>
        <v>A-493-0550</v>
      </c>
      <c r="D233" s="367" t="str">
        <f>VLOOKUP(Table2[[#This Row],[Course Title]],'TSD-Data'!$A$1:$E$56,3,FALSE)</f>
        <v>09K5</v>
      </c>
      <c r="E233" s="399" t="s">
        <v>86</v>
      </c>
      <c r="F233" s="416">
        <v>45747</v>
      </c>
      <c r="G233" s="416">
        <v>45750</v>
      </c>
      <c r="H233" s="370"/>
      <c r="I233" s="370">
        <v>0.41666666666666669</v>
      </c>
      <c r="J233" s="381">
        <v>0.29166666666666669</v>
      </c>
      <c r="K233" s="381">
        <v>0.70833333333333337</v>
      </c>
      <c r="L233" s="381">
        <v>0.66666666666666663</v>
      </c>
      <c r="M233" s="381">
        <v>0.16666666666666666</v>
      </c>
      <c r="N233" s="381">
        <v>0.95833333333333337</v>
      </c>
      <c r="O233" s="389" t="s">
        <v>301</v>
      </c>
      <c r="P233" s="389"/>
      <c r="Q233" s="365"/>
      <c r="R233" s="394">
        <f>VLOOKUP(Table2[[#This Row],[Course Title]],'TSD-Data'!$A$1:$E$56,4,FALSE)</f>
        <v>45</v>
      </c>
      <c r="S233" s="372">
        <f>VLOOKUP(Table2[[#This Row],[Course Title]],'TSD-Data'!$A$1:$F$53,6,FALSE)</f>
        <v>32</v>
      </c>
      <c r="T233" s="372">
        <f>VLOOKUP(Table2[[#This Row],[Course Title]],'TSD-Data'!$A$1:$E$56,5,FALSE)</f>
        <v>4</v>
      </c>
      <c r="U233" s="372">
        <v>465</v>
      </c>
      <c r="V233" s="372">
        <f>Table2[[#This Row],[Quotas]]-Table2[[#This Row],[Open Quotas]]</f>
        <v>45</v>
      </c>
      <c r="W233" s="372">
        <v>0</v>
      </c>
      <c r="X233" s="394">
        <v>44</v>
      </c>
      <c r="Y233" s="394">
        <v>1</v>
      </c>
      <c r="Z233" s="372">
        <v>4</v>
      </c>
      <c r="AA233" s="372">
        <v>0</v>
      </c>
      <c r="AB233" s="367">
        <v>0</v>
      </c>
      <c r="AC233" s="372" t="s">
        <v>291</v>
      </c>
      <c r="AD233" s="394">
        <f ca="1">Table2[[#This Row],[End Date]]+2-TODAY()</f>
        <v>-25</v>
      </c>
      <c r="AE233" s="372">
        <f>IF(ISBLANK(Table2[[#This Row],[Received by]]),1,0)</f>
        <v>0</v>
      </c>
      <c r="AF233" s="372">
        <f ca="1">IF(Table2[[#This Row],[Start Date]]&gt;TODAY(),1,)</f>
        <v>0</v>
      </c>
      <c r="AG233" s="372">
        <f>IF(ISBLANK(Table2[[#This Row],[Primary Instructor]]),0,1)</f>
        <v>1</v>
      </c>
      <c r="AH233" s="372">
        <f>IF(ISBLANK(Table2[[#This Row],[Instructor 2]]),0,1)</f>
        <v>0</v>
      </c>
      <c r="AI233" s="372">
        <f>Table2[[#This Row],[Course Length (Hours)]]/(SUM(Table2[[#This Row],[1]:[2]]))</f>
        <v>32</v>
      </c>
      <c r="AJ233" s="372">
        <v>0</v>
      </c>
      <c r="AK233" s="396">
        <v>2</v>
      </c>
    </row>
    <row r="234" spans="1:37" s="373" customFormat="1" x14ac:dyDescent="0.25">
      <c r="A234" s="401"/>
      <c r="B234" s="435" t="s">
        <v>52</v>
      </c>
      <c r="C234" s="374" t="str">
        <f>VLOOKUP(Table2[[#This Row],[Course Title]],'TSD-Data'!$A$1:$E$56,2,FALSE)</f>
        <v>A-493-0085</v>
      </c>
      <c r="D234" s="374">
        <f>VLOOKUP(Table2[[#This Row],[Course Title]],'TSD-Data'!$A$1:$E$56,3,FALSE)</f>
        <v>3555</v>
      </c>
      <c r="E234" s="477" t="s">
        <v>86</v>
      </c>
      <c r="F234" s="416">
        <v>45747</v>
      </c>
      <c r="G234" s="416">
        <v>45750</v>
      </c>
      <c r="H234" s="377"/>
      <c r="I234" s="380">
        <v>0.5</v>
      </c>
      <c r="J234" s="380">
        <v>0.375</v>
      </c>
      <c r="K234" s="380">
        <v>0.79166666666666663</v>
      </c>
      <c r="L234" s="380">
        <v>0.75</v>
      </c>
      <c r="M234" s="380">
        <v>0.25</v>
      </c>
      <c r="N234" s="380">
        <v>4.1666666666666664E-2</v>
      </c>
      <c r="O234" s="401" t="s">
        <v>316</v>
      </c>
      <c r="P234" s="401"/>
      <c r="Q234" s="365"/>
      <c r="R234" s="378">
        <f>VLOOKUP(Table2[[#This Row],[Course Title]],'TSD-Data'!$A$1:$E$56,4,FALSE)</f>
        <v>45</v>
      </c>
      <c r="S234" s="378">
        <f>VLOOKUP(Table2[[#This Row],[Course Title]],'TSD-Data'!$A$1:$F$53,6,FALSE)</f>
        <v>32</v>
      </c>
      <c r="T234" s="378">
        <v>4</v>
      </c>
      <c r="U234" s="378">
        <v>503</v>
      </c>
      <c r="V234" s="378">
        <f>Table2[[#This Row],[Quotas]]-Table2[[#This Row],[Open Quotas]]</f>
        <v>12</v>
      </c>
      <c r="W234" s="378">
        <v>0</v>
      </c>
      <c r="X234" s="378">
        <v>10</v>
      </c>
      <c r="Y234" s="403">
        <v>1</v>
      </c>
      <c r="Z234" s="378">
        <v>1</v>
      </c>
      <c r="AA234" s="378">
        <v>0</v>
      </c>
      <c r="AB234" s="378">
        <v>1</v>
      </c>
      <c r="AC234" s="378" t="s">
        <v>281</v>
      </c>
      <c r="AD234" s="403">
        <f ca="1">Table2[[#This Row],[End Date]]+2-TODAY()</f>
        <v>-25</v>
      </c>
      <c r="AE234" s="378">
        <f>IF(ISBLANK(Table2[[#This Row],[Received by]]),1,0)</f>
        <v>0</v>
      </c>
      <c r="AF234" s="378">
        <f ca="1">IF(Table2[[#This Row],[Start Date]]&gt;TODAY(),1,)</f>
        <v>0</v>
      </c>
      <c r="AG234" s="378">
        <f>IF(ISBLANK(Table2[[#This Row],[Primary Instructor]]),0,1)</f>
        <v>1</v>
      </c>
      <c r="AH234" s="378">
        <f>IF(ISBLANK(Table2[[#This Row],[Instructor 2]]),0,1)</f>
        <v>0</v>
      </c>
      <c r="AI234" s="378">
        <f>Table2[[#This Row],[Course Length (Hours)]]/(SUM(Table2[[#This Row],[1]:[2]]))</f>
        <v>32</v>
      </c>
      <c r="AJ234" s="378">
        <v>33</v>
      </c>
      <c r="AK234" s="526">
        <v>2</v>
      </c>
    </row>
    <row r="235" spans="1:37" s="408" customFormat="1" x14ac:dyDescent="0.25">
      <c r="A235" s="374"/>
      <c r="B235" s="435" t="s">
        <v>39</v>
      </c>
      <c r="C235" s="374" t="str">
        <f>VLOOKUP(Table2[[#This Row],[Course Title]],'TSD-Data'!$A$1:$E$56,2,FALSE)</f>
        <v>A-570-0100</v>
      </c>
      <c r="D235" s="374" t="str">
        <f>VLOOKUP(Table2[[#This Row],[Course Title]],'TSD-Data'!$A$1:$E$56,3,FALSE)</f>
        <v>18B7</v>
      </c>
      <c r="E235" s="477" t="s">
        <v>86</v>
      </c>
      <c r="F235" s="416">
        <v>45747</v>
      </c>
      <c r="G235" s="416">
        <v>45748</v>
      </c>
      <c r="H235" s="377"/>
      <c r="I235" s="380">
        <v>0.5</v>
      </c>
      <c r="J235" s="380">
        <v>0.375</v>
      </c>
      <c r="K235" s="380">
        <v>0.79166666666666663</v>
      </c>
      <c r="L235" s="380">
        <v>0.75</v>
      </c>
      <c r="M235" s="380">
        <v>0.25</v>
      </c>
      <c r="N235" s="380">
        <v>4.1666666666666664E-2</v>
      </c>
      <c r="O235" s="401" t="s">
        <v>272</v>
      </c>
      <c r="P235" s="401"/>
      <c r="Q235" s="365"/>
      <c r="R235" s="378">
        <f>VLOOKUP(Table2[[#This Row],[Course Title]],'TSD-Data'!$A$1:$E$56,4,FALSE)</f>
        <v>45</v>
      </c>
      <c r="S235" s="378">
        <f>VLOOKUP(Table2[[#This Row],[Course Title]],'TSD-Data'!$A$1:$F$53,6,FALSE)</f>
        <v>16</v>
      </c>
      <c r="T235" s="378">
        <f>VLOOKUP(Table2[[#This Row],[Course Title]],'TSD-Data'!$A$1:$E$56,5,FALSE)</f>
        <v>2</v>
      </c>
      <c r="U235" s="378">
        <v>621</v>
      </c>
      <c r="V235" s="378">
        <f>Table2[[#This Row],[Quotas]]-Table2[[#This Row],[Open Quotas]]</f>
        <v>23</v>
      </c>
      <c r="W235" s="378">
        <v>0</v>
      </c>
      <c r="X235" s="402">
        <v>20</v>
      </c>
      <c r="Y235" s="402">
        <v>2</v>
      </c>
      <c r="Z235" s="374">
        <v>2</v>
      </c>
      <c r="AA235" s="374">
        <v>0</v>
      </c>
      <c r="AB235" s="402">
        <v>0</v>
      </c>
      <c r="AC235" s="378" t="s">
        <v>287</v>
      </c>
      <c r="AD235" s="403">
        <f ca="1">Table2[[#This Row],[End Date]]+2-TODAY()</f>
        <v>-27</v>
      </c>
      <c r="AE235" s="378">
        <f>IF(ISBLANK(Table2[[#This Row],[Received by]]),1,0)</f>
        <v>0</v>
      </c>
      <c r="AF235" s="378">
        <f ca="1">IF(Table2[[#This Row],[Start Date]]&gt;TODAY(),1,)</f>
        <v>0</v>
      </c>
      <c r="AG235" s="378">
        <f>IF(ISBLANK(Table2[[#This Row],[Primary Instructor]]),0,1)</f>
        <v>1</v>
      </c>
      <c r="AH235" s="378">
        <f>IF(ISBLANK(Table2[[#This Row],[Instructor 2]]),0,1)</f>
        <v>0</v>
      </c>
      <c r="AI235" s="378">
        <f>Table2[[#This Row],[Course Length (Hours)]]/(SUM(Table2[[#This Row],[1]:[2]]))</f>
        <v>16</v>
      </c>
      <c r="AJ235" s="378">
        <v>22</v>
      </c>
      <c r="AK235" s="526">
        <v>2</v>
      </c>
    </row>
    <row r="236" spans="1:37" s="373" customFormat="1" x14ac:dyDescent="0.25">
      <c r="A236" s="401"/>
      <c r="B236" s="477" t="s">
        <v>40</v>
      </c>
      <c r="C236" s="374" t="str">
        <f>VLOOKUP(Table2[[#This Row],[Course Title]],'TSD-Data'!$A$1:$E$56,2,FALSE)</f>
        <v>A-493-2098</v>
      </c>
      <c r="D236" s="374" t="str">
        <f>VLOOKUP(Table2[[#This Row],[Course Title]],'TSD-Data'!$A$1:$E$56,3,FALSE)</f>
        <v>09WW</v>
      </c>
      <c r="E236" s="477" t="s">
        <v>86</v>
      </c>
      <c r="F236" s="416">
        <v>45747</v>
      </c>
      <c r="G236" s="416">
        <v>45748</v>
      </c>
      <c r="H236" s="377"/>
      <c r="I236" s="377">
        <v>0.79166666666666663</v>
      </c>
      <c r="J236" s="380">
        <v>0.66666666666666663</v>
      </c>
      <c r="K236" s="380">
        <v>8.3333333333333329E-2</v>
      </c>
      <c r="L236" s="380">
        <v>0</v>
      </c>
      <c r="M236" s="380">
        <v>0.54166666666666663</v>
      </c>
      <c r="N236" s="380">
        <v>0.33333333333333331</v>
      </c>
      <c r="O236" s="401" t="s">
        <v>282</v>
      </c>
      <c r="P236" s="401"/>
      <c r="Q236" s="365"/>
      <c r="R236" s="403">
        <f>VLOOKUP(Table2[[#This Row],[Course Title]],'TSD-Data'!$A$1:$E$56,4,FALSE)</f>
        <v>100</v>
      </c>
      <c r="S236" s="378">
        <f>VLOOKUP(Table2[[#This Row],[Course Title]],'TSD-Data'!$A$1:$F$53,6,FALSE)</f>
        <v>16</v>
      </c>
      <c r="T236" s="378">
        <f>VLOOKUP(Table2[[#This Row],[Course Title]],'TSD-Data'!$A$1:$E$56,5,FALSE)</f>
        <v>2</v>
      </c>
      <c r="U236" s="378">
        <v>161</v>
      </c>
      <c r="V236" s="378">
        <f>Table2[[#This Row],[Quotas]]-Table2[[#This Row],[Open Quotas]]</f>
        <v>88</v>
      </c>
      <c r="W236" s="378">
        <v>0</v>
      </c>
      <c r="X236" s="403">
        <v>67</v>
      </c>
      <c r="Y236" s="403">
        <v>6</v>
      </c>
      <c r="Z236" s="378">
        <v>22</v>
      </c>
      <c r="AA236" s="378">
        <v>3</v>
      </c>
      <c r="AB236" s="378">
        <v>0</v>
      </c>
      <c r="AC236" s="378" t="s">
        <v>287</v>
      </c>
      <c r="AD236" s="403">
        <f ca="1">Table2[[#This Row],[End Date]]+2-TODAY()</f>
        <v>-27</v>
      </c>
      <c r="AE236" s="378">
        <f>IF(ISBLANK(Table2[[#This Row],[Received by]]),1,0)</f>
        <v>0</v>
      </c>
      <c r="AF236" s="378">
        <f ca="1">IF(Table2[[#This Row],[Start Date]]&gt;TODAY(),1,)</f>
        <v>0</v>
      </c>
      <c r="AG236" s="378">
        <f>IF(ISBLANK(Table2[[#This Row],[Primary Instructor]]),0,1)</f>
        <v>1</v>
      </c>
      <c r="AH236" s="378">
        <f>IF(ISBLANK(Table2[[#This Row],[Instructor 2]]),0,1)</f>
        <v>0</v>
      </c>
      <c r="AI236" s="378">
        <f>Table2[[#This Row],[Course Length (Hours)]]/(SUM(Table2[[#This Row],[1]:[2]]))</f>
        <v>16</v>
      </c>
      <c r="AJ236" s="378">
        <v>12</v>
      </c>
      <c r="AK236" s="526">
        <v>2</v>
      </c>
    </row>
    <row r="237" spans="1:37" s="373" customFormat="1" x14ac:dyDescent="0.25">
      <c r="A237" s="367"/>
      <c r="B237" s="477" t="s">
        <v>57</v>
      </c>
      <c r="C237" s="367" t="str">
        <f>VLOOKUP(Table2[[#This Row],[Course Title]],'TSD-Data'!$A$1:$E$56,2,FALSE)</f>
        <v>A-493-0099</v>
      </c>
      <c r="D237" s="367" t="str">
        <f>VLOOKUP(Table2[[#This Row],[Course Title]],'TSD-Data'!$A$1:$E$56,3,FALSE)</f>
        <v>12JW</v>
      </c>
      <c r="E237" s="477" t="s">
        <v>86</v>
      </c>
      <c r="F237" s="416">
        <v>45748</v>
      </c>
      <c r="G237" s="416">
        <v>45750</v>
      </c>
      <c r="H237" s="370"/>
      <c r="I237" s="370">
        <v>0.29166666666666669</v>
      </c>
      <c r="J237" s="370">
        <v>0.16666666666666666</v>
      </c>
      <c r="K237" s="370">
        <v>0.58333333333333337</v>
      </c>
      <c r="L237" s="370">
        <v>0.5</v>
      </c>
      <c r="M237" s="370">
        <v>4.1666666666666664E-2</v>
      </c>
      <c r="N237" s="370">
        <v>0.83333333333333337</v>
      </c>
      <c r="O237" s="389" t="s">
        <v>305</v>
      </c>
      <c r="P237" s="389"/>
      <c r="Q237" s="365"/>
      <c r="R237" s="394">
        <f>VLOOKUP(Table2[[#This Row],[Course Title]],'TSD-Data'!$A$1:$E$56,4,FALSE)</f>
        <v>45</v>
      </c>
      <c r="S237" s="372">
        <f>VLOOKUP(Table2[[#This Row],[Course Title]],'TSD-Data'!$A$1:$F$53,6,FALSE)</f>
        <v>24</v>
      </c>
      <c r="T237" s="372">
        <f>VLOOKUP(Table2[[#This Row],[Course Title]],'TSD-Data'!$A$1:$E$56,5,FALSE)</f>
        <v>3</v>
      </c>
      <c r="U237" s="372">
        <v>34</v>
      </c>
      <c r="V237" s="372">
        <f>Table2[[#This Row],[Quotas]]-Table2[[#This Row],[Open Quotas]]</f>
        <v>39</v>
      </c>
      <c r="W237" s="372">
        <v>0</v>
      </c>
      <c r="X237" s="395">
        <v>37</v>
      </c>
      <c r="Y237" s="395">
        <v>1</v>
      </c>
      <c r="Z237" s="367">
        <v>6</v>
      </c>
      <c r="AA237" s="367">
        <v>0</v>
      </c>
      <c r="AB237" s="395">
        <v>0</v>
      </c>
      <c r="AC237" s="372" t="s">
        <v>291</v>
      </c>
      <c r="AD237" s="394">
        <f ca="1">Table2[[#This Row],[End Date]]+2-TODAY()</f>
        <v>-25</v>
      </c>
      <c r="AE237" s="372">
        <f>IF(ISBLANK(Table2[[#This Row],[Received by]]),1,0)</f>
        <v>0</v>
      </c>
      <c r="AF237" s="372">
        <f ca="1">IF(Table2[[#This Row],[Start Date]]&gt;TODAY(),1,)</f>
        <v>0</v>
      </c>
      <c r="AG237" s="372">
        <f>IF(ISBLANK(Table2[[#This Row],[Primary Instructor]]),0,1)</f>
        <v>1</v>
      </c>
      <c r="AH237" s="372">
        <f>IF(ISBLANK(Table2[[#This Row],[Instructor 2]]),0,1)</f>
        <v>0</v>
      </c>
      <c r="AI237" s="372">
        <f>Table2[[#This Row],[Course Length (Hours)]]/(SUM(Table2[[#This Row],[1]:[2]]))</f>
        <v>24</v>
      </c>
      <c r="AJ237" s="372">
        <v>6</v>
      </c>
      <c r="AK237" s="372">
        <v>3</v>
      </c>
    </row>
    <row r="238" spans="1:37" s="373" customFormat="1" x14ac:dyDescent="0.25">
      <c r="A238" s="437"/>
      <c r="B238" s="477" t="s">
        <v>61</v>
      </c>
      <c r="C238" s="374" t="str">
        <f>VLOOKUP(Table2[[#This Row],[Course Title]],'TSD-Data'!$A$1:$E$56,2,FALSE)</f>
        <v>A-493-0078</v>
      </c>
      <c r="D238" s="374">
        <f>VLOOKUP(Table2[[#This Row],[Course Title]],'TSD-Data'!$A$1:$E$56,3,FALSE)</f>
        <v>1228</v>
      </c>
      <c r="E238" s="477" t="s">
        <v>86</v>
      </c>
      <c r="F238" s="416">
        <v>45748</v>
      </c>
      <c r="G238" s="416">
        <v>45751</v>
      </c>
      <c r="H238" s="377"/>
      <c r="I238" s="377">
        <v>0.33333333333333331</v>
      </c>
      <c r="J238" s="377">
        <v>0.20833333333333334</v>
      </c>
      <c r="K238" s="377">
        <v>0.625</v>
      </c>
      <c r="L238" s="377">
        <v>0.54166666666666663</v>
      </c>
      <c r="M238" s="377">
        <v>8.3333333333333329E-2</v>
      </c>
      <c r="N238" s="377">
        <v>0.875</v>
      </c>
      <c r="O238" s="401" t="s">
        <v>304</v>
      </c>
      <c r="P238" s="401"/>
      <c r="Q238" s="365"/>
      <c r="R238" s="378">
        <f>VLOOKUP(Table2[[#This Row],[Course Title]],'TSD-Data'!$A$1:$E$56,4,FALSE)</f>
        <v>45</v>
      </c>
      <c r="S238" s="378">
        <f>VLOOKUP(Table2[[#This Row],[Course Title]],'TSD-Data'!$A$1:$F$53,6,FALSE)</f>
        <v>32</v>
      </c>
      <c r="T238" s="378">
        <f>VLOOKUP(Table2[[#This Row],[Course Title]],'TSD-Data'!$A$1:$E$56,5,FALSE)</f>
        <v>4</v>
      </c>
      <c r="U238" s="378">
        <v>508</v>
      </c>
      <c r="V238" s="378">
        <f>Table2[[#This Row],[Quotas]]-Table2[[#This Row],[Open Quotas]]</f>
        <v>44</v>
      </c>
      <c r="W238" s="378">
        <v>0</v>
      </c>
      <c r="X238" s="378">
        <v>40</v>
      </c>
      <c r="Y238" s="403">
        <v>1</v>
      </c>
      <c r="Z238" s="378">
        <v>7</v>
      </c>
      <c r="AA238" s="378">
        <v>0</v>
      </c>
      <c r="AB238" s="378">
        <v>0</v>
      </c>
      <c r="AC238" s="378" t="s">
        <v>291</v>
      </c>
      <c r="AD238" s="403">
        <f ca="1">Table2[[#This Row],[End Date]]+2-TODAY()</f>
        <v>-24</v>
      </c>
      <c r="AE238" s="378">
        <f>IF(ISBLANK(Table2[[#This Row],[Received by]]),1,0)</f>
        <v>0</v>
      </c>
      <c r="AF238" s="378">
        <f ca="1">IF(Table2[[#This Row],[Start Date]]&gt;TODAY(),1,)</f>
        <v>0</v>
      </c>
      <c r="AG238" s="378">
        <f>IF(ISBLANK(Table2[[#This Row],[Primary Instructor]]),0,1)</f>
        <v>1</v>
      </c>
      <c r="AH238" s="378">
        <f>IF(ISBLANK(Table2[[#This Row],[Instructor 2]]),0,1)</f>
        <v>0</v>
      </c>
      <c r="AI238" s="378">
        <f>Table2[[#This Row],[Course Length (Hours)]]/(SUM(Table2[[#This Row],[1]:[2]]))</f>
        <v>32</v>
      </c>
      <c r="AJ238" s="378">
        <v>1</v>
      </c>
      <c r="AK238" s="378">
        <v>3</v>
      </c>
    </row>
    <row r="239" spans="1:37" s="408" customFormat="1" x14ac:dyDescent="0.25">
      <c r="A239" s="399" t="s">
        <v>538</v>
      </c>
      <c r="B239" s="477" t="s">
        <v>89</v>
      </c>
      <c r="C239" s="486" t="str">
        <f>VLOOKUP(Table2[[#This Row],[Course Title]],'TSD-Data'!$A$1:$E$56,2,FALSE)</f>
        <v>A-493-0014</v>
      </c>
      <c r="D239" s="486">
        <v>3878</v>
      </c>
      <c r="E239" s="477" t="s">
        <v>86</v>
      </c>
      <c r="F239" s="416">
        <v>45754</v>
      </c>
      <c r="G239" s="416">
        <v>45756</v>
      </c>
      <c r="H239" s="377"/>
      <c r="I239" s="370">
        <v>0.25</v>
      </c>
      <c r="J239" s="377">
        <v>0.125</v>
      </c>
      <c r="K239" s="377">
        <v>0.54166666666666663</v>
      </c>
      <c r="L239" s="377">
        <v>0.5</v>
      </c>
      <c r="M239" s="377">
        <v>0</v>
      </c>
      <c r="N239" s="377">
        <v>0.79166666666666663</v>
      </c>
      <c r="O239" s="487" t="s">
        <v>316</v>
      </c>
      <c r="P239" s="487"/>
      <c r="Q239" s="389"/>
      <c r="R239" s="480">
        <f>VLOOKUP(Table2[[#This Row],[Course Title]],'TSD-Data'!$A$1:$E$56,4,FALSE)</f>
        <v>25</v>
      </c>
      <c r="S239" s="480">
        <f>VLOOKUP(Table2[[#This Row],[Course Title]],'TSD-Data'!$A$1:$F$53,6,FALSE)</f>
        <v>24</v>
      </c>
      <c r="T239" s="402"/>
      <c r="U239" s="378">
        <v>0</v>
      </c>
      <c r="V239" s="378">
        <f>Table2[[#This Row],[Quotas]]-Table2[[#This Row],[Open Quotas]]</f>
        <v>25</v>
      </c>
      <c r="W239" s="378">
        <v>0</v>
      </c>
      <c r="X239" s="403">
        <v>2</v>
      </c>
      <c r="Y239" s="403">
        <v>0</v>
      </c>
      <c r="Z239" s="480">
        <v>0</v>
      </c>
      <c r="AA239" s="480">
        <v>0</v>
      </c>
      <c r="AB239" s="374">
        <v>0</v>
      </c>
      <c r="AC239" s="378" t="s">
        <v>281</v>
      </c>
      <c r="AD239" s="403">
        <f ca="1">Table2[[#This Row],[End Date]]+2-TODAY()</f>
        <v>-19</v>
      </c>
      <c r="AE239" s="480">
        <f>IF(ISBLANK(Table2[[#This Row],[Received by]]),1,0)</f>
        <v>0</v>
      </c>
      <c r="AF239" s="480">
        <f ca="1">IF(Table2[[#This Row],[Start Date]]&gt;TODAY(),1,)</f>
        <v>0</v>
      </c>
      <c r="AG239" s="480">
        <f>IF(ISBLANK(Table2[[#This Row],[Primary Instructor]]),0,1)</f>
        <v>1</v>
      </c>
      <c r="AH239" s="480">
        <f>IF(ISBLANK(Table2[[#This Row],[Instructor 2]]),0,1)</f>
        <v>0</v>
      </c>
      <c r="AI239" s="480">
        <f>Table2[[#This Row],[Course Length (Hours)]]/(SUM(Table2[[#This Row],[1]:[2]]))</f>
        <v>24</v>
      </c>
      <c r="AJ239" s="480">
        <v>0</v>
      </c>
      <c r="AK239" s="488">
        <v>3</v>
      </c>
    </row>
    <row r="240" spans="1:37" s="373" customFormat="1" x14ac:dyDescent="0.25">
      <c r="A240" s="389" t="s">
        <v>460</v>
      </c>
      <c r="B240" s="477" t="s">
        <v>17</v>
      </c>
      <c r="C240" s="367" t="str">
        <f>VLOOKUP(Table2[[#This Row],[Course Title]],'TSD-Data'!$A$1:$E$56,2,FALSE)</f>
        <v>A-493-0012</v>
      </c>
      <c r="D240" s="367">
        <f>VLOOKUP(Table2[[#This Row],[Course Title]],'TSD-Data'!$A$1:$E$56,3,FALSE)</f>
        <v>3682</v>
      </c>
      <c r="E240" s="504" t="s">
        <v>186</v>
      </c>
      <c r="F240" s="383">
        <v>45754</v>
      </c>
      <c r="G240" s="383">
        <v>45758</v>
      </c>
      <c r="H240" s="370">
        <v>0.33333333333333331</v>
      </c>
      <c r="I240" s="381"/>
      <c r="J240" s="397"/>
      <c r="K240" s="397"/>
      <c r="L240" s="397"/>
      <c r="M240" s="397"/>
      <c r="N240" s="397"/>
      <c r="O240" s="389" t="s">
        <v>283</v>
      </c>
      <c r="P240" s="389"/>
      <c r="Q240" s="365"/>
      <c r="R240" s="372">
        <f>VLOOKUP(Table2[[#This Row],[Course Title]],'TSD-Data'!$A$1:$E$56,4,FALSE)</f>
        <v>40</v>
      </c>
      <c r="S240" s="372">
        <f>VLOOKUP(Table2[[#This Row],[Course Title]],'TSD-Data'!$A$1:$F$53,6,FALSE)</f>
        <v>40</v>
      </c>
      <c r="T240" s="372">
        <f>VLOOKUP(Table2[[#This Row],[Course Title]],'TSD-Data'!$A$1:$E$56,5,FALSE)</f>
        <v>5</v>
      </c>
      <c r="U240" s="372">
        <v>20</v>
      </c>
      <c r="V240" s="372">
        <f>Table2[[#This Row],[Quotas]]-Table2[[#This Row],[Open Quotas]]</f>
        <v>30</v>
      </c>
      <c r="W240" s="372">
        <v>0</v>
      </c>
      <c r="X240" s="372">
        <v>26</v>
      </c>
      <c r="Y240" s="394">
        <v>0</v>
      </c>
      <c r="Z240" s="372">
        <v>4</v>
      </c>
      <c r="AA240" s="372">
        <v>0</v>
      </c>
      <c r="AB240" s="367">
        <v>0</v>
      </c>
      <c r="AC240" s="372" t="s">
        <v>287</v>
      </c>
      <c r="AD240" s="394">
        <f ca="1">Table2[[#This Row],[End Date]]+2-TODAY()</f>
        <v>-17</v>
      </c>
      <c r="AE240" s="372">
        <f>IF(ISBLANK(Table2[[#This Row],[Received by]]),1,0)</f>
        <v>0</v>
      </c>
      <c r="AF240" s="372">
        <f ca="1">IF(Table2[[#This Row],[Start Date]]&gt;TODAY(),1,)</f>
        <v>0</v>
      </c>
      <c r="AG240" s="372">
        <f>IF(ISBLANK(Table2[[#This Row],[Primary Instructor]]),0,1)</f>
        <v>1</v>
      </c>
      <c r="AH240" s="372">
        <f>IF(ISBLANK(Table2[[#This Row],[Instructor 2]]),0,1)</f>
        <v>0</v>
      </c>
      <c r="AI240" s="372">
        <f>Table2[[#This Row],[Course Length (Hours)]]/(SUM(Table2[[#This Row],[1]:[2]]))</f>
        <v>40</v>
      </c>
      <c r="AJ240" s="372">
        <v>10</v>
      </c>
      <c r="AK240" s="372">
        <v>3</v>
      </c>
    </row>
    <row r="241" spans="1:37" s="373" customFormat="1" x14ac:dyDescent="0.25">
      <c r="A241" s="389"/>
      <c r="B241" s="477" t="s">
        <v>17</v>
      </c>
      <c r="C241" s="367" t="str">
        <f>VLOOKUP(Table2[[#This Row],[Course Title]],'TSD-Data'!$A$1:$E$56,2,FALSE)</f>
        <v>A-493-0012</v>
      </c>
      <c r="D241" s="367">
        <f>VLOOKUP(Table2[[#This Row],[Course Title]],'TSD-Data'!$A$1:$E$56,3,FALSE)</f>
        <v>3682</v>
      </c>
      <c r="E241" s="504" t="s">
        <v>213</v>
      </c>
      <c r="F241" s="416">
        <v>45754</v>
      </c>
      <c r="G241" s="416">
        <v>45758</v>
      </c>
      <c r="H241" s="370">
        <v>0.33333333333333331</v>
      </c>
      <c r="I241" s="370"/>
      <c r="J241" s="391"/>
      <c r="K241" s="397"/>
      <c r="L241" s="397"/>
      <c r="M241" s="397"/>
      <c r="N241" s="397"/>
      <c r="O241" s="389" t="s">
        <v>257</v>
      </c>
      <c r="P241" s="389"/>
      <c r="Q241" s="365"/>
      <c r="R241" s="372">
        <f>VLOOKUP(Table2[[#This Row],[Course Title]],'TSD-Data'!$A$1:$E$56,4,FALSE)</f>
        <v>40</v>
      </c>
      <c r="S241" s="372">
        <f>VLOOKUP(Table2[[#This Row],[Course Title]],'TSD-Data'!$A$1:$F$53,6,FALSE)</f>
        <v>40</v>
      </c>
      <c r="T241" s="372">
        <f>VLOOKUP(Table2[[#This Row],[Course Title]],'TSD-Data'!$A$1:$E$56,5,FALSE)</f>
        <v>5</v>
      </c>
      <c r="U241" s="372">
        <v>21</v>
      </c>
      <c r="V241" s="372">
        <f>Table2[[#This Row],[Quotas]]-Table2[[#This Row],[Open Quotas]]</f>
        <v>38</v>
      </c>
      <c r="W241" s="372">
        <v>0</v>
      </c>
      <c r="X241" s="372">
        <v>30</v>
      </c>
      <c r="Y241" s="394">
        <v>0</v>
      </c>
      <c r="Z241" s="372">
        <v>8</v>
      </c>
      <c r="AA241" s="372">
        <v>0</v>
      </c>
      <c r="AB241" s="367">
        <v>0</v>
      </c>
      <c r="AC241" s="372" t="s">
        <v>287</v>
      </c>
      <c r="AD241" s="394">
        <f ca="1">Table2[[#This Row],[End Date]]+2-TODAY()</f>
        <v>-17</v>
      </c>
      <c r="AE241" s="372">
        <f>IF(ISBLANK(Table2[[#This Row],[Received by]]),1,0)</f>
        <v>0</v>
      </c>
      <c r="AF241" s="372">
        <f ca="1">IF(Table2[[#This Row],[Start Date]]&gt;TODAY(),1,)</f>
        <v>0</v>
      </c>
      <c r="AG241" s="372">
        <f>IF(ISBLANK(Table2[[#This Row],[Primary Instructor]]),0,1)</f>
        <v>1</v>
      </c>
      <c r="AH241" s="372">
        <f>IF(ISBLANK(Table2[[#This Row],[Instructor 2]]),0,1)</f>
        <v>0</v>
      </c>
      <c r="AI241" s="372">
        <f>Table2[[#This Row],[Course Length (Hours)]]/(SUM(Table2[[#This Row],[1]:[2]]))</f>
        <v>40</v>
      </c>
      <c r="AJ241" s="372">
        <v>2</v>
      </c>
      <c r="AK241" s="372">
        <v>3</v>
      </c>
    </row>
    <row r="242" spans="1:37" s="373" customFormat="1" x14ac:dyDescent="0.25">
      <c r="A242" s="389"/>
      <c r="B242" s="477" t="s">
        <v>120</v>
      </c>
      <c r="C242" s="367" t="str">
        <f>VLOOKUP(Table2[[#This Row],[Course Title]],'TSD-Data'!$A$1:$E$56,2,FALSE)</f>
        <v>A-322-2604</v>
      </c>
      <c r="D242" s="367" t="str">
        <f>VLOOKUP(Table2[[#This Row],[Course Title]],'TSD-Data'!$A$1:$E$56,3,FALSE)</f>
        <v>10ZZ</v>
      </c>
      <c r="E242" s="411" t="s">
        <v>86</v>
      </c>
      <c r="F242" s="416">
        <v>45754</v>
      </c>
      <c r="G242" s="416">
        <v>45756</v>
      </c>
      <c r="H242" s="370"/>
      <c r="I242" s="381">
        <v>0.5</v>
      </c>
      <c r="J242" s="381">
        <v>0.375</v>
      </c>
      <c r="K242" s="381">
        <v>0.79166666666666663</v>
      </c>
      <c r="L242" s="381">
        <v>0.75</v>
      </c>
      <c r="M242" s="381">
        <v>0.25</v>
      </c>
      <c r="N242" s="381">
        <v>4.1666666666666664E-2</v>
      </c>
      <c r="O242" s="389" t="s">
        <v>288</v>
      </c>
      <c r="P242" s="389"/>
      <c r="Q242" s="365"/>
      <c r="R242" s="372">
        <f>VLOOKUP(Table2[[#This Row],[Course Title]],'TSD-Data'!$A$1:$E$56,4,FALSE)</f>
        <v>45</v>
      </c>
      <c r="S242" s="372">
        <f>VLOOKUP(Table2[[#This Row],[Course Title]],'TSD-Data'!$A$1:$F$53,6,FALSE)</f>
        <v>24</v>
      </c>
      <c r="T242" s="372">
        <f>VLOOKUP(Table2[[#This Row],[Course Title]],'TSD-Data'!$A$1:$E$56,5,FALSE)</f>
        <v>3</v>
      </c>
      <c r="U242" s="372">
        <v>634</v>
      </c>
      <c r="V242" s="372">
        <f>Table2[[#This Row],[Quotas]]-Table2[[#This Row],[Open Quotas]]</f>
        <v>45</v>
      </c>
      <c r="W242" s="372">
        <v>1</v>
      </c>
      <c r="X242" s="394">
        <v>42</v>
      </c>
      <c r="Y242" s="394">
        <v>0</v>
      </c>
      <c r="Z242" s="372">
        <v>3</v>
      </c>
      <c r="AA242" s="372">
        <v>0</v>
      </c>
      <c r="AB242" s="367">
        <v>0</v>
      </c>
      <c r="AC242" s="372" t="s">
        <v>281</v>
      </c>
      <c r="AD242" s="394">
        <f ca="1">Table2[[#This Row],[End Date]]+2-TODAY()</f>
        <v>-19</v>
      </c>
      <c r="AE242" s="372">
        <f>IF(ISBLANK(Table2[[#This Row],[Received by]]),1,0)</f>
        <v>0</v>
      </c>
      <c r="AF242" s="372">
        <f ca="1">IF(Table2[[#This Row],[Start Date]]&gt;TODAY(),1,)</f>
        <v>0</v>
      </c>
      <c r="AG242" s="372">
        <f>IF(ISBLANK(Table2[[#This Row],[Primary Instructor]]),0,1)</f>
        <v>1</v>
      </c>
      <c r="AH242" s="372">
        <f>IF(ISBLANK(Table2[[#This Row],[Instructor 2]]),0,1)</f>
        <v>0</v>
      </c>
      <c r="AI242" s="372">
        <f>Table2[[#This Row],[Course Length (Hours)]]/(SUM(Table2[[#This Row],[1]:[2]]))</f>
        <v>24</v>
      </c>
      <c r="AJ242" s="372">
        <v>0</v>
      </c>
      <c r="AK242" s="372">
        <v>3</v>
      </c>
    </row>
    <row r="243" spans="1:37" s="408" customFormat="1" x14ac:dyDescent="0.25">
      <c r="A243" s="389"/>
      <c r="B243" s="477" t="s">
        <v>29</v>
      </c>
      <c r="C243" s="367" t="str">
        <f>VLOOKUP(Table2[[#This Row],[Course Title]],'TSD-Data'!$A$1:$E$56,2,FALSE)</f>
        <v>A-493-0077</v>
      </c>
      <c r="D243" s="367" t="str">
        <f>VLOOKUP(Table2[[#This Row],[Course Title]],'TSD-Data'!$A$1:$E$56,3,FALSE)</f>
        <v>0381</v>
      </c>
      <c r="E243" s="399" t="s">
        <v>202</v>
      </c>
      <c r="F243" s="416">
        <v>45754</v>
      </c>
      <c r="G243" s="416">
        <v>45756</v>
      </c>
      <c r="H243" s="370">
        <v>0.33333333333333331</v>
      </c>
      <c r="I243" s="370"/>
      <c r="J243" s="370"/>
      <c r="K243" s="370"/>
      <c r="L243" s="370"/>
      <c r="M243" s="370"/>
      <c r="N243" s="370"/>
      <c r="O243" s="389" t="s">
        <v>280</v>
      </c>
      <c r="P243" s="389"/>
      <c r="Q243" s="365"/>
      <c r="R243" s="372">
        <f>VLOOKUP(Table2[[#This Row],[Course Title]],'TSD-Data'!$A$1:$E$56,4,FALSE)</f>
        <v>25</v>
      </c>
      <c r="S243" s="372">
        <f>VLOOKUP(Table2[[#This Row],[Course Title]],'TSD-Data'!$A$1:$F$53,6,FALSE)</f>
        <v>24</v>
      </c>
      <c r="T243" s="372">
        <f>VLOOKUP(Table2[[#This Row],[Course Title]],'TSD-Data'!$A$1:$E$56,5,FALSE)</f>
        <v>3</v>
      </c>
      <c r="U243" s="372">
        <v>33</v>
      </c>
      <c r="V243" s="372">
        <f>Table2[[#This Row],[Quotas]]-Table2[[#This Row],[Open Quotas]]</f>
        <v>5</v>
      </c>
      <c r="W243" s="372">
        <v>0</v>
      </c>
      <c r="X243" s="394">
        <v>8</v>
      </c>
      <c r="Y243" s="394">
        <v>0</v>
      </c>
      <c r="Z243" s="372">
        <v>0</v>
      </c>
      <c r="AA243" s="372">
        <v>2</v>
      </c>
      <c r="AB243" s="372">
        <v>0</v>
      </c>
      <c r="AC243" s="372" t="s">
        <v>287</v>
      </c>
      <c r="AD243" s="394">
        <f ca="1">Table2[[#This Row],[End Date]]+2-TODAY()</f>
        <v>-19</v>
      </c>
      <c r="AE243" s="372">
        <f>IF(ISBLANK(Table2[[#This Row],[Received by]]),1,0)</f>
        <v>0</v>
      </c>
      <c r="AF243" s="372">
        <f ca="1">IF(Table2[[#This Row],[Start Date]]&gt;TODAY(),1,)</f>
        <v>0</v>
      </c>
      <c r="AG243" s="372">
        <f>IF(ISBLANK(Table2[[#This Row],[Primary Instructor]]),0,1)</f>
        <v>1</v>
      </c>
      <c r="AH243" s="372">
        <f>IF(ISBLANK(Table2[[#This Row],[Instructor 2]]),0,1)</f>
        <v>0</v>
      </c>
      <c r="AI243" s="372">
        <f>Table2[[#This Row],[Course Length (Hours)]]/(SUM(Table2[[#This Row],[1]:[2]]))</f>
        <v>24</v>
      </c>
      <c r="AJ243" s="372">
        <v>20</v>
      </c>
      <c r="AK243" s="372">
        <v>3</v>
      </c>
    </row>
    <row r="244" spans="1:37" s="408" customFormat="1" x14ac:dyDescent="0.25">
      <c r="A244" s="401" t="s">
        <v>483</v>
      </c>
      <c r="B244" s="477" t="s">
        <v>31</v>
      </c>
      <c r="C244" s="374" t="str">
        <f>VLOOKUP(Table2[[#This Row],[Course Title]],'TSD-Data'!$A$1:$E$56,2,FALSE)</f>
        <v>A-493-0083</v>
      </c>
      <c r="D244" s="374" t="str">
        <f>VLOOKUP(Table2[[#This Row],[Course Title]],'TSD-Data'!$A$1:$E$56,3,FALSE)</f>
        <v>339E</v>
      </c>
      <c r="E244" s="399" t="s">
        <v>86</v>
      </c>
      <c r="F244" s="416">
        <v>45754</v>
      </c>
      <c r="G244" s="416">
        <v>45754</v>
      </c>
      <c r="H244" s="377"/>
      <c r="I244" s="377">
        <v>0.33333333333333331</v>
      </c>
      <c r="J244" s="377">
        <v>0.20833333333333334</v>
      </c>
      <c r="K244" s="377">
        <v>0.625</v>
      </c>
      <c r="L244" s="377">
        <v>0.54166666666666663</v>
      </c>
      <c r="M244" s="377">
        <v>8.3333333333333329E-2</v>
      </c>
      <c r="N244" s="377">
        <v>0.875</v>
      </c>
      <c r="O244" s="401" t="s">
        <v>280</v>
      </c>
      <c r="P244" s="401"/>
      <c r="Q244" s="365"/>
      <c r="R244" s="378">
        <f>VLOOKUP(Table2[[#This Row],[Course Title]],'TSD-Data'!$A$1:$E$56,4,FALSE)</f>
        <v>30</v>
      </c>
      <c r="S244" s="378">
        <f>VLOOKUP(Table2[[#This Row],[Course Title]],'TSD-Data'!$A$1:$F$53,6,FALSE)</f>
        <v>8</v>
      </c>
      <c r="T244" s="378">
        <f>VLOOKUP(Table2[[#This Row],[Course Title]],'TSD-Data'!$A$1:$E$56,5,FALSE)</f>
        <v>1</v>
      </c>
      <c r="U244" s="378">
        <v>0</v>
      </c>
      <c r="V244" s="378">
        <f>Table2[[#This Row],[Quotas]]-Table2[[#This Row],[Open Quotas]]</f>
        <v>29</v>
      </c>
      <c r="W244" s="378">
        <v>3</v>
      </c>
      <c r="X244" s="403">
        <v>30</v>
      </c>
      <c r="Y244" s="403">
        <v>0</v>
      </c>
      <c r="Z244" s="378">
        <v>3</v>
      </c>
      <c r="AA244" s="378">
        <v>3</v>
      </c>
      <c r="AB244" s="374">
        <v>0</v>
      </c>
      <c r="AC244" s="378" t="s">
        <v>287</v>
      </c>
      <c r="AD244" s="403">
        <f ca="1">Table2[[#This Row],[End Date]]+2-TODAY()</f>
        <v>-21</v>
      </c>
      <c r="AE244" s="378">
        <f>IF(ISBLANK(Table2[[#This Row],[Received by]]),1,0)</f>
        <v>0</v>
      </c>
      <c r="AF244" s="378">
        <f ca="1">IF(Table2[[#This Row],[Start Date]]&gt;TODAY(),1,)</f>
        <v>0</v>
      </c>
      <c r="AG244" s="378">
        <f>IF(ISBLANK(Table2[[#This Row],[Primary Instructor]]),0,1)</f>
        <v>1</v>
      </c>
      <c r="AH244" s="378">
        <f>IF(ISBLANK(Table2[[#This Row],[Instructor 2]]),0,1)</f>
        <v>0</v>
      </c>
      <c r="AI244" s="378">
        <f>Table2[[#This Row],[Course Length (Hours)]]/(SUM(Table2[[#This Row],[1]:[2]]))</f>
        <v>8</v>
      </c>
      <c r="AJ244" s="378">
        <v>1</v>
      </c>
      <c r="AK244" s="378">
        <v>3</v>
      </c>
    </row>
    <row r="245" spans="1:37" s="408" customFormat="1" x14ac:dyDescent="0.25">
      <c r="A245" s="401"/>
      <c r="B245" s="477" t="s">
        <v>60</v>
      </c>
      <c r="C245" s="374" t="str">
        <f>VLOOKUP(Table2[[#This Row],[Course Title]],'TSD-Data'!$A$1:$E$56,2,FALSE)</f>
        <v>A-493-0073</v>
      </c>
      <c r="D245" s="374" t="str">
        <f>VLOOKUP(Table2[[#This Row],[Course Title]],'TSD-Data'!$A$1:$E$56,3,FALSE)</f>
        <v>714S</v>
      </c>
      <c r="E245" s="399" t="s">
        <v>86</v>
      </c>
      <c r="F245" s="416">
        <v>45754</v>
      </c>
      <c r="G245" s="416">
        <v>45757</v>
      </c>
      <c r="H245" s="391"/>
      <c r="I245" s="380">
        <v>0.79166666666666663</v>
      </c>
      <c r="J245" s="380">
        <v>0.66666666666666663</v>
      </c>
      <c r="K245" s="380">
        <v>8.3333333333333329E-2</v>
      </c>
      <c r="L245" s="380">
        <v>0</v>
      </c>
      <c r="M245" s="380">
        <v>0.54166666666666663</v>
      </c>
      <c r="N245" s="380">
        <v>0.33333333333333331</v>
      </c>
      <c r="O245" s="401" t="s">
        <v>314</v>
      </c>
      <c r="P245" s="401"/>
      <c r="Q245" s="365"/>
      <c r="R245" s="378">
        <f>VLOOKUP(Table2[[#This Row],[Course Title]],'TSD-Data'!$A$1:$E$56,4,FALSE)</f>
        <v>30</v>
      </c>
      <c r="S245" s="378">
        <f>VLOOKUP(Table2[[#This Row],[Course Title]],'TSD-Data'!$A$1:$F$53,6,FALSE)</f>
        <v>32</v>
      </c>
      <c r="T245" s="378">
        <f>VLOOKUP(Table2[[#This Row],[Course Title]],'TSD-Data'!$A$1:$E$56,5,FALSE)</f>
        <v>4</v>
      </c>
      <c r="U245" s="378">
        <v>129</v>
      </c>
      <c r="V245" s="378">
        <f>Table2[[#This Row],[Quotas]]-Table2[[#This Row],[Open Quotas]]</f>
        <v>9</v>
      </c>
      <c r="W245" s="378">
        <v>0</v>
      </c>
      <c r="X245" s="378">
        <v>8</v>
      </c>
      <c r="Y245" s="403">
        <v>0</v>
      </c>
      <c r="Z245" s="378">
        <v>0</v>
      </c>
      <c r="AA245" s="378">
        <v>0</v>
      </c>
      <c r="AB245" s="378">
        <v>0</v>
      </c>
      <c r="AC245" s="378" t="s">
        <v>291</v>
      </c>
      <c r="AD245" s="403">
        <f ca="1">Table2[[#This Row],[End Date]]+2-TODAY()</f>
        <v>-18</v>
      </c>
      <c r="AE245" s="378">
        <f>IF(ISBLANK(Table2[[#This Row],[Received by]]),1,0)</f>
        <v>0</v>
      </c>
      <c r="AF245" s="378">
        <f ca="1">IF(Table2[[#This Row],[Start Date]]&gt;TODAY(),1,)</f>
        <v>0</v>
      </c>
      <c r="AG245" s="378">
        <f>IF(ISBLANK(Table2[[#This Row],[Primary Instructor]]),0,1)</f>
        <v>1</v>
      </c>
      <c r="AH245" s="378">
        <f>IF(ISBLANK(Table2[[#This Row],[Instructor 2]]),0,1)</f>
        <v>0</v>
      </c>
      <c r="AI245" s="378">
        <f>Table2[[#This Row],[Course Length (Hours)]]/(SUM(Table2[[#This Row],[1]:[2]]))</f>
        <v>32</v>
      </c>
      <c r="AJ245" s="378">
        <v>21</v>
      </c>
      <c r="AK245" s="378">
        <v>3</v>
      </c>
    </row>
    <row r="246" spans="1:37" s="408" customFormat="1" x14ac:dyDescent="0.25">
      <c r="A246" s="401"/>
      <c r="B246" s="477" t="s">
        <v>61</v>
      </c>
      <c r="C246" s="374" t="str">
        <f>VLOOKUP(Table2[[#This Row],[Course Title]],'TSD-Data'!$A$1:$E$56,2,FALSE)</f>
        <v>A-493-0078</v>
      </c>
      <c r="D246" s="374">
        <f>VLOOKUP(Table2[[#This Row],[Course Title]],'TSD-Data'!$A$1:$E$56,3,FALSE)</f>
        <v>1228</v>
      </c>
      <c r="E246" s="399" t="s">
        <v>86</v>
      </c>
      <c r="F246" s="416">
        <v>45754</v>
      </c>
      <c r="G246" s="416">
        <v>45757</v>
      </c>
      <c r="H246" s="377"/>
      <c r="I246" s="377">
        <v>0.45833333333333331</v>
      </c>
      <c r="J246" s="377">
        <v>0.33333333333333331</v>
      </c>
      <c r="K246" s="377">
        <v>0.75</v>
      </c>
      <c r="L246" s="377">
        <v>0.66666666666666663</v>
      </c>
      <c r="M246" s="377">
        <v>0.20833333333333334</v>
      </c>
      <c r="N246" s="377">
        <v>0</v>
      </c>
      <c r="O246" s="401" t="s">
        <v>304</v>
      </c>
      <c r="P246" s="401"/>
      <c r="Q246" s="365"/>
      <c r="R246" s="378">
        <f>VLOOKUP(Table2[[#This Row],[Course Title]],'TSD-Data'!$A$1:$E$56,4,FALSE)</f>
        <v>45</v>
      </c>
      <c r="S246" s="378">
        <f>VLOOKUP(Table2[[#This Row],[Course Title]],'TSD-Data'!$A$1:$F$53,6,FALSE)</f>
        <v>32</v>
      </c>
      <c r="T246" s="378">
        <f>VLOOKUP(Table2[[#This Row],[Course Title]],'TSD-Data'!$A$1:$E$56,5,FALSE)</f>
        <v>4</v>
      </c>
      <c r="U246" s="378">
        <v>840</v>
      </c>
      <c r="V246" s="378">
        <f>Table2[[#This Row],[Quotas]]-Table2[[#This Row],[Open Quotas]]</f>
        <v>44</v>
      </c>
      <c r="W246" s="378">
        <v>0</v>
      </c>
      <c r="X246" s="378">
        <v>42</v>
      </c>
      <c r="Y246" s="403">
        <v>0</v>
      </c>
      <c r="Z246" s="378">
        <v>3</v>
      </c>
      <c r="AA246" s="378">
        <v>0</v>
      </c>
      <c r="AB246" s="378">
        <v>0</v>
      </c>
      <c r="AC246" s="378" t="s">
        <v>291</v>
      </c>
      <c r="AD246" s="403">
        <f ca="1">Table2[[#This Row],[End Date]]+2-TODAY()</f>
        <v>-18</v>
      </c>
      <c r="AE246" s="378">
        <f>IF(ISBLANK(Table2[[#This Row],[Received by]]),1,0)</f>
        <v>0</v>
      </c>
      <c r="AF246" s="378">
        <f ca="1">IF(Table2[[#This Row],[Start Date]]&gt;TODAY(),1,)</f>
        <v>0</v>
      </c>
      <c r="AG246" s="378">
        <f>IF(ISBLANK(Table2[[#This Row],[Primary Instructor]]),0,1)</f>
        <v>1</v>
      </c>
      <c r="AH246" s="378">
        <f>IF(ISBLANK(Table2[[#This Row],[Instructor 2]]),0,1)</f>
        <v>0</v>
      </c>
      <c r="AI246" s="378">
        <f>Table2[[#This Row],[Course Length (Hours)]]/(SUM(Table2[[#This Row],[1]:[2]]))</f>
        <v>32</v>
      </c>
      <c r="AJ246" s="378">
        <v>1</v>
      </c>
      <c r="AK246" s="378">
        <v>3</v>
      </c>
    </row>
    <row r="247" spans="1:37" s="408" customFormat="1" x14ac:dyDescent="0.25">
      <c r="A247" s="401"/>
      <c r="B247" s="477" t="s">
        <v>53</v>
      </c>
      <c r="C247" s="374" t="str">
        <f>VLOOKUP(Table2[[#This Row],[Course Title]],'TSD-Data'!$A$1:$E$56,2,FALSE)</f>
        <v>A-493-0072</v>
      </c>
      <c r="D247" s="374" t="str">
        <f>VLOOKUP(Table2[[#This Row],[Course Title]],'TSD-Data'!$A$1:$E$56,3,FALSE)</f>
        <v>713U</v>
      </c>
      <c r="E247" s="411" t="s">
        <v>199</v>
      </c>
      <c r="F247" s="416">
        <v>45754</v>
      </c>
      <c r="G247" s="416">
        <v>45758</v>
      </c>
      <c r="H247" s="377">
        <v>0.33333333333333331</v>
      </c>
      <c r="I247" s="377"/>
      <c r="J247" s="391"/>
      <c r="K247" s="391"/>
      <c r="L247" s="391"/>
      <c r="M247" s="391"/>
      <c r="N247" s="391"/>
      <c r="O247" s="401" t="s">
        <v>277</v>
      </c>
      <c r="P247" s="401" t="s">
        <v>278</v>
      </c>
      <c r="Q247" s="365"/>
      <c r="R247" s="378">
        <f>VLOOKUP(Table2[[#This Row],[Course Title]],'TSD-Data'!$A$1:$E$56,4,FALSE)</f>
        <v>30</v>
      </c>
      <c r="S247" s="378">
        <f>VLOOKUP(Table2[[#This Row],[Course Title]],'TSD-Data'!$A$1:$F$53,6,FALSE)</f>
        <v>40</v>
      </c>
      <c r="T247" s="378">
        <f>VLOOKUP(Table2[[#This Row],[Course Title]],'TSD-Data'!$A$1:$E$56,5,FALSE)</f>
        <v>5</v>
      </c>
      <c r="U247" s="378">
        <v>170</v>
      </c>
      <c r="V247" s="378">
        <f>Table2[[#This Row],[Quotas]]-Table2[[#This Row],[Open Quotas]]</f>
        <v>28</v>
      </c>
      <c r="W247" s="378">
        <v>4</v>
      </c>
      <c r="X247" s="378">
        <v>25</v>
      </c>
      <c r="Y247" s="403">
        <v>0</v>
      </c>
      <c r="Z247" s="378">
        <v>9</v>
      </c>
      <c r="AA247" s="378">
        <v>4</v>
      </c>
      <c r="AB247" s="378">
        <v>0</v>
      </c>
      <c r="AC247" s="378" t="s">
        <v>281</v>
      </c>
      <c r="AD247" s="403">
        <f ca="1">Table2[[#This Row],[End Date]]+2-TODAY()</f>
        <v>-17</v>
      </c>
      <c r="AE247" s="378">
        <f>IF(ISBLANK(Table2[[#This Row],[Received by]]),1,0)</f>
        <v>0</v>
      </c>
      <c r="AF247" s="378">
        <f ca="1">IF(Table2[[#This Row],[Start Date]]&gt;TODAY(),1,)</f>
        <v>0</v>
      </c>
      <c r="AG247" s="378">
        <f>IF(ISBLANK(Table2[[#This Row],[Primary Instructor]]),0,1)</f>
        <v>1</v>
      </c>
      <c r="AH247" s="378">
        <f>IF(ISBLANK(Table2[[#This Row],[Instructor 2]]),0,1)</f>
        <v>1</v>
      </c>
      <c r="AI247" s="378">
        <f>Table2[[#This Row],[Course Length (Hours)]]/(SUM(Table2[[#This Row],[1]:[2]]))</f>
        <v>20</v>
      </c>
      <c r="AJ247" s="378">
        <v>2</v>
      </c>
      <c r="AK247" s="378">
        <v>3</v>
      </c>
    </row>
    <row r="248" spans="1:37" s="408" customFormat="1" x14ac:dyDescent="0.25">
      <c r="A248" s="438"/>
      <c r="B248" s="446" t="s">
        <v>40</v>
      </c>
      <c r="C248" s="438" t="str">
        <f>VLOOKUP(Table2[[#This Row],[Course Title]],'TSD-Data'!$A$1:$E$56,2,FALSE)</f>
        <v>A-493-2098</v>
      </c>
      <c r="D248" s="438" t="str">
        <f>VLOOKUP(Table2[[#This Row],[Course Title]],'TSD-Data'!$A$1:$E$56,3,FALSE)</f>
        <v>09WW</v>
      </c>
      <c r="E248" s="426" t="s">
        <v>86</v>
      </c>
      <c r="F248" s="519">
        <v>45754</v>
      </c>
      <c r="G248" s="520">
        <v>45756</v>
      </c>
      <c r="H248" s="417"/>
      <c r="I248" s="417">
        <v>0.33333333333333331</v>
      </c>
      <c r="J248" s="417">
        <v>0.20833333333333334</v>
      </c>
      <c r="K248" s="417">
        <v>0.625</v>
      </c>
      <c r="L248" s="417">
        <v>0.54166666666666663</v>
      </c>
      <c r="M248" s="417">
        <v>8.3333333333333329E-2</v>
      </c>
      <c r="N248" s="417">
        <v>0.875</v>
      </c>
      <c r="O248" s="437" t="s">
        <v>282</v>
      </c>
      <c r="P248" s="437"/>
      <c r="Q248" s="365"/>
      <c r="R248" s="439">
        <f>VLOOKUP(Table2[[#This Row],[Course Title]],'TSD-Data'!$A$1:$E$56,4,FALSE)</f>
        <v>100</v>
      </c>
      <c r="S248" s="439">
        <f>VLOOKUP(Table2[[#This Row],[Course Title]],'TSD-Data'!$A$1:$F$53,6,FALSE)</f>
        <v>16</v>
      </c>
      <c r="T248" s="439">
        <f>VLOOKUP(Table2[[#This Row],[Course Title]],'TSD-Data'!$A$1:$E$56,5,FALSE)</f>
        <v>2</v>
      </c>
      <c r="U248" s="439">
        <v>722</v>
      </c>
      <c r="V248" s="439">
        <f>Table2[[#This Row],[Quotas]]-Table2[[#This Row],[Open Quotas]]</f>
        <v>100</v>
      </c>
      <c r="W248" s="439">
        <v>0</v>
      </c>
      <c r="X248" s="444"/>
      <c r="Y248" s="444"/>
      <c r="Z248" s="438"/>
      <c r="AA248" s="438"/>
      <c r="AB248" s="444"/>
      <c r="AC248" s="439"/>
      <c r="AD248" s="440">
        <f ca="1">Table2[[#This Row],[End Date]]+2-TODAY()</f>
        <v>-19</v>
      </c>
      <c r="AE248" s="439">
        <f>IF(ISBLANK(Table2[[#This Row],[Received by]]),1,0)</f>
        <v>1</v>
      </c>
      <c r="AF248" s="439">
        <f ca="1">IF(Table2[[#This Row],[Start Date]]&gt;TODAY(),1,)</f>
        <v>0</v>
      </c>
      <c r="AG248" s="439">
        <f>IF(ISBLANK(Table2[[#This Row],[Primary Instructor]]),0,1)</f>
        <v>1</v>
      </c>
      <c r="AH248" s="439">
        <f>IF(ISBLANK(Table2[[#This Row],[Instructor 2]]),0,1)</f>
        <v>0</v>
      </c>
      <c r="AI248" s="439">
        <f>Table2[[#This Row],[Course Length (Hours)]]/(SUM(Table2[[#This Row],[1]:[2]]))</f>
        <v>16</v>
      </c>
      <c r="AJ248" s="439">
        <v>0</v>
      </c>
      <c r="AK248" s="439">
        <v>3</v>
      </c>
    </row>
    <row r="249" spans="1:37" s="373" customFormat="1" x14ac:dyDescent="0.25">
      <c r="A249" s="401"/>
      <c r="B249" s="477" t="s">
        <v>31</v>
      </c>
      <c r="C249" s="374" t="str">
        <f>VLOOKUP(Table2[[#This Row],[Course Title]],'TSD-Data'!$A$1:$E$56,2,FALSE)</f>
        <v>A-493-0083</v>
      </c>
      <c r="D249" s="374" t="str">
        <f>VLOOKUP(Table2[[#This Row],[Course Title]],'TSD-Data'!$A$1:$E$56,3,FALSE)</f>
        <v>339E</v>
      </c>
      <c r="E249" s="411" t="s">
        <v>202</v>
      </c>
      <c r="F249" s="478">
        <v>45757</v>
      </c>
      <c r="G249" s="478">
        <v>45757</v>
      </c>
      <c r="H249" s="377">
        <v>0.33333333333333331</v>
      </c>
      <c r="I249" s="377"/>
      <c r="J249" s="377"/>
      <c r="K249" s="377"/>
      <c r="L249" s="377"/>
      <c r="M249" s="377"/>
      <c r="N249" s="377"/>
      <c r="O249" s="401" t="s">
        <v>280</v>
      </c>
      <c r="P249" s="401"/>
      <c r="Q249" s="365"/>
      <c r="R249" s="378">
        <f>VLOOKUP(Table2[[#This Row],[Course Title]],'TSD-Data'!$A$1:$E$56,4,FALSE)</f>
        <v>30</v>
      </c>
      <c r="S249" s="378">
        <f>VLOOKUP(Table2[[#This Row],[Course Title]],'TSD-Data'!$A$1:$F$53,6,FALSE)</f>
        <v>8</v>
      </c>
      <c r="T249" s="378">
        <f>VLOOKUP(Table2[[#This Row],[Course Title]],'TSD-Data'!$A$1:$E$56,5,FALSE)</f>
        <v>1</v>
      </c>
      <c r="U249" s="378">
        <v>32</v>
      </c>
      <c r="V249" s="378">
        <f>Table2[[#This Row],[Quotas]]-Table2[[#This Row],[Open Quotas]]</f>
        <v>2</v>
      </c>
      <c r="W249" s="378">
        <v>0</v>
      </c>
      <c r="X249" s="378">
        <v>2</v>
      </c>
      <c r="Y249" s="403">
        <v>0</v>
      </c>
      <c r="Z249" s="378">
        <v>0</v>
      </c>
      <c r="AA249" s="378">
        <v>0</v>
      </c>
      <c r="AB249" s="378">
        <v>0</v>
      </c>
      <c r="AC249" s="378" t="s">
        <v>287</v>
      </c>
      <c r="AD249" s="403">
        <f ca="1">Table2[[#This Row],[End Date]]+2-TODAY()</f>
        <v>-18</v>
      </c>
      <c r="AE249" s="378">
        <f>IF(ISBLANK(Table2[[#This Row],[Received by]]),1,0)</f>
        <v>0</v>
      </c>
      <c r="AF249" s="378">
        <f ca="1">IF(Table2[[#This Row],[Start Date]]&gt;TODAY(),1,)</f>
        <v>0</v>
      </c>
      <c r="AG249" s="378">
        <f>IF(ISBLANK(Table2[[#This Row],[Primary Instructor]]),0,1)</f>
        <v>1</v>
      </c>
      <c r="AH249" s="378">
        <f>IF(ISBLANK(Table2[[#This Row],[Instructor 2]]),0,1)</f>
        <v>0</v>
      </c>
      <c r="AI249" s="378">
        <f>Table2[[#This Row],[Course Length (Hours)]]/(SUM(Table2[[#This Row],[1]:[2]]))</f>
        <v>8</v>
      </c>
      <c r="AJ249" s="378">
        <v>28</v>
      </c>
      <c r="AK249" s="378">
        <v>3</v>
      </c>
    </row>
    <row r="250" spans="1:37" s="408" customFormat="1" x14ac:dyDescent="0.25">
      <c r="A250" s="389"/>
      <c r="B250" s="411" t="s">
        <v>45</v>
      </c>
      <c r="C250" s="529" t="str">
        <f>VLOOKUP(Table2[[#This Row],[Course Title]],'TSD-Data'!$A$1:$E$56,2,FALSE)</f>
        <v>A-493-0069</v>
      </c>
      <c r="D250" s="529" t="s">
        <v>97</v>
      </c>
      <c r="E250" s="411" t="s">
        <v>199</v>
      </c>
      <c r="F250" s="478">
        <v>45761</v>
      </c>
      <c r="G250" s="478">
        <v>45765</v>
      </c>
      <c r="H250" s="370">
        <v>0.33333333333333331</v>
      </c>
      <c r="I250" s="370"/>
      <c r="J250" s="391"/>
      <c r="K250" s="397"/>
      <c r="L250" s="397"/>
      <c r="M250" s="397"/>
      <c r="N250" s="397"/>
      <c r="O250" s="516" t="s">
        <v>316</v>
      </c>
      <c r="P250" s="516"/>
      <c r="Q250" s="389"/>
      <c r="R250" s="495">
        <f>VLOOKUP(Table2[[#This Row],[Course Title]],'TSD-Data'!$A$1:$E$56,4,FALSE)</f>
        <v>25</v>
      </c>
      <c r="S250" s="495">
        <f>VLOOKUP(Table2[[#This Row],[Course Title]],'TSD-Data'!$A$1:$F$53,6,FALSE)</f>
        <v>40</v>
      </c>
      <c r="T250" s="395">
        <v>5</v>
      </c>
      <c r="U250" s="372">
        <v>13</v>
      </c>
      <c r="V250" s="372">
        <f>Table2[[#This Row],[Quotas]]-Table2[[#This Row],[Open Quotas]]</f>
        <v>25</v>
      </c>
      <c r="W250" s="372">
        <v>0</v>
      </c>
      <c r="X250" s="394">
        <v>2</v>
      </c>
      <c r="Y250" s="394">
        <v>0</v>
      </c>
      <c r="Z250" s="495">
        <v>0</v>
      </c>
      <c r="AA250" s="495">
        <v>0</v>
      </c>
      <c r="AB250" s="372">
        <v>0</v>
      </c>
      <c r="AC250" s="372" t="s">
        <v>281</v>
      </c>
      <c r="AD250" s="394">
        <f ca="1">Table2[[#This Row],[End Date]]+2-TODAY()</f>
        <v>-10</v>
      </c>
      <c r="AE250" s="495">
        <f>IF(ISBLANK(Table2[[#This Row],[Received by]]),1,0)</f>
        <v>0</v>
      </c>
      <c r="AF250" s="495">
        <f ca="1">IF(Table2[[#This Row],[Start Date]]&gt;TODAY(),1,)</f>
        <v>0</v>
      </c>
      <c r="AG250" s="495">
        <f>IF(ISBLANK(Table2[[#This Row],[Primary Instructor]]),0,1)</f>
        <v>1</v>
      </c>
      <c r="AH250" s="495">
        <f>IF(ISBLANK(Table2[[#This Row],[Instructor 2]]),0,1)</f>
        <v>0</v>
      </c>
      <c r="AI250" s="495">
        <f>Table2[[#This Row],[Course Length (Hours)]]/(SUM(Table2[[#This Row],[1]:[2]]))</f>
        <v>40</v>
      </c>
      <c r="AJ250" s="495">
        <v>0</v>
      </c>
      <c r="AK250" s="495">
        <v>3</v>
      </c>
    </row>
    <row r="251" spans="1:37" s="373" customFormat="1" x14ac:dyDescent="0.25">
      <c r="A251" s="429" t="s">
        <v>539</v>
      </c>
      <c r="B251" s="426" t="s">
        <v>361</v>
      </c>
      <c r="C251" s="427" t="str">
        <f>VLOOKUP(Table2[[#This Row],[Course Title]],'TSD-Data'!$A$1:$E$56,2,FALSE)</f>
        <v>Function</v>
      </c>
      <c r="D251" s="427" t="str">
        <f>VLOOKUP(Table2[[#This Row],[Course Title]],'TSD-Data'!$A$1:$E$56,3,FALSE)</f>
        <v>Function</v>
      </c>
      <c r="E251" s="426" t="s">
        <v>198</v>
      </c>
      <c r="F251" s="445">
        <v>45761</v>
      </c>
      <c r="G251" s="445">
        <v>45761</v>
      </c>
      <c r="H251" s="422">
        <v>800</v>
      </c>
      <c r="I251" s="422">
        <v>800</v>
      </c>
      <c r="J251" s="417">
        <v>800</v>
      </c>
      <c r="K251" s="422">
        <v>800</v>
      </c>
      <c r="L251" s="422">
        <v>800</v>
      </c>
      <c r="M251" s="422">
        <v>800</v>
      </c>
      <c r="N251" s="422">
        <v>800</v>
      </c>
      <c r="O251" s="429"/>
      <c r="P251" s="429"/>
      <c r="Q251" s="365"/>
      <c r="R251" s="414">
        <f>VLOOKUP(Table2[[#This Row],[Course Title]],'TSD-Data'!$A$1:$E$56,4,FALSE)</f>
        <v>0</v>
      </c>
      <c r="S251" s="414">
        <f>VLOOKUP(Table2[[#This Row],[Course Title]],'TSD-Data'!$A$1:$F$53,6,FALSE)</f>
        <v>0</v>
      </c>
      <c r="T251" s="414">
        <f>VLOOKUP(Table2[[#This Row],[Course Title]],'TSD-Data'!$A$1:$E$56,5,FALSE)</f>
        <v>0</v>
      </c>
      <c r="U251" s="414">
        <v>0</v>
      </c>
      <c r="V251" s="414">
        <f>Table2[[#This Row],[Quotas]]-Table2[[#This Row],[Open Quotas]]</f>
        <v>0</v>
      </c>
      <c r="W251" s="414">
        <v>0</v>
      </c>
      <c r="X251" s="414">
        <v>0</v>
      </c>
      <c r="Y251" s="414">
        <v>0</v>
      </c>
      <c r="Z251" s="414">
        <v>0</v>
      </c>
      <c r="AA251" s="414">
        <v>0</v>
      </c>
      <c r="AB251" s="414">
        <v>0</v>
      </c>
      <c r="AC251" s="414" t="s">
        <v>285</v>
      </c>
      <c r="AD251" s="419">
        <f ca="1">Table2[[#This Row],[End Date]]+2-TODAY()</f>
        <v>-14</v>
      </c>
      <c r="AE251" s="414">
        <f>IF(ISBLANK(Table2[[#This Row],[Received by]]),1,0)</f>
        <v>0</v>
      </c>
      <c r="AF251" s="414">
        <f ca="1">IF(Table2[[#This Row],[Start Date]]&gt;TODAY(),1,)</f>
        <v>0</v>
      </c>
      <c r="AG251" s="414">
        <f>IF(ISBLANK(Table2[[#This Row],[Primary Instructor]]),0,1)</f>
        <v>0</v>
      </c>
      <c r="AH251" s="414">
        <f>IF(ISBLANK(Table2[[#This Row],[Instructor 2]]),0,1)</f>
        <v>0</v>
      </c>
      <c r="AI251" s="414" t="e">
        <f>Table2[[#This Row],[Course Length (Hours)]]/(SUM(Table2[[#This Row],[1]:[2]]))</f>
        <v>#DIV/0!</v>
      </c>
      <c r="AJ251" s="414"/>
      <c r="AK251" s="414">
        <v>3</v>
      </c>
    </row>
    <row r="252" spans="1:37" s="408" customFormat="1" x14ac:dyDescent="0.25">
      <c r="A252" s="429"/>
      <c r="B252" s="426" t="s">
        <v>55</v>
      </c>
      <c r="C252" s="427" t="str">
        <f>VLOOKUP(Table2[[#This Row],[Course Title]],'TSD-Data'!$A$1:$E$56,2,FALSE)</f>
        <v>A-493-0103</v>
      </c>
      <c r="D252" s="427" t="str">
        <f>VLOOKUP(Table2[[#This Row],[Course Title]],'TSD-Data'!$A$1:$E$56,3,FALSE)</f>
        <v>12JY</v>
      </c>
      <c r="E252" s="426" t="s">
        <v>204</v>
      </c>
      <c r="F252" s="445">
        <v>45761</v>
      </c>
      <c r="G252" s="445">
        <v>45765</v>
      </c>
      <c r="H252" s="422">
        <v>0.33333333333333331</v>
      </c>
      <c r="I252" s="422"/>
      <c r="J252" s="422"/>
      <c r="K252" s="422"/>
      <c r="L252" s="422"/>
      <c r="M252" s="422"/>
      <c r="N252" s="422"/>
      <c r="O252" s="429" t="s">
        <v>314</v>
      </c>
      <c r="P252" s="429"/>
      <c r="Q252" s="365"/>
      <c r="R252" s="414">
        <f>VLOOKUP(Table2[[#This Row],[Course Title]],'TSD-Data'!$A$1:$E$56,4,FALSE)</f>
        <v>25</v>
      </c>
      <c r="S252" s="414">
        <f>VLOOKUP(Table2[[#This Row],[Course Title]],'TSD-Data'!$A$1:$F$53,6,FALSE)</f>
        <v>40</v>
      </c>
      <c r="T252" s="414">
        <f>VLOOKUP(Table2[[#This Row],[Course Title]],'TSD-Data'!$A$1:$E$56,5,FALSE)</f>
        <v>5</v>
      </c>
      <c r="U252" s="414">
        <v>12</v>
      </c>
      <c r="V252" s="414">
        <f>Table2[[#This Row],[Quotas]]-Table2[[#This Row],[Open Quotas]]</f>
        <v>25</v>
      </c>
      <c r="W252" s="414">
        <v>0</v>
      </c>
      <c r="X252" s="414"/>
      <c r="Y252" s="419"/>
      <c r="Z252" s="414"/>
      <c r="AA252" s="414"/>
      <c r="AB252" s="414"/>
      <c r="AC252" s="414"/>
      <c r="AD252" s="419">
        <f ca="1">Table2[[#This Row],[End Date]]+2-TODAY()</f>
        <v>-10</v>
      </c>
      <c r="AE252" s="414">
        <f>IF(ISBLANK(Table2[[#This Row],[Received by]]),1,0)</f>
        <v>1</v>
      </c>
      <c r="AF252" s="414">
        <f ca="1">IF(Table2[[#This Row],[Start Date]]&gt;TODAY(),1,)</f>
        <v>0</v>
      </c>
      <c r="AG252" s="414">
        <f>IF(ISBLANK(Table2[[#This Row],[Primary Instructor]]),0,1)</f>
        <v>1</v>
      </c>
      <c r="AH252" s="414">
        <f>IF(ISBLANK(Table2[[#This Row],[Instructor 2]]),0,1)</f>
        <v>0</v>
      </c>
      <c r="AI252" s="414">
        <f>Table2[[#This Row],[Course Length (Hours)]]/(SUM(Table2[[#This Row],[1]:[2]]))</f>
        <v>40</v>
      </c>
      <c r="AJ252" s="414">
        <v>0</v>
      </c>
      <c r="AK252" s="414">
        <v>3</v>
      </c>
    </row>
    <row r="253" spans="1:37" s="408" customFormat="1" x14ac:dyDescent="0.25">
      <c r="A253" s="390"/>
      <c r="B253" s="411" t="s">
        <v>17</v>
      </c>
      <c r="C253" s="367" t="str">
        <f>VLOOKUP(Table2[[#This Row],[Course Title]],'TSD-Data'!$A$1:$E$56,2,FALSE)</f>
        <v>A-493-0012</v>
      </c>
      <c r="D253" s="367">
        <f>VLOOKUP(Table2[[#This Row],[Course Title]],'TSD-Data'!$A$1:$E$56,3,FALSE)</f>
        <v>3682</v>
      </c>
      <c r="E253" s="411" t="s">
        <v>187</v>
      </c>
      <c r="F253" s="478">
        <v>45761</v>
      </c>
      <c r="G253" s="478">
        <v>45765</v>
      </c>
      <c r="H253" s="370">
        <v>0.33333333333333331</v>
      </c>
      <c r="I253" s="381"/>
      <c r="J253" s="380"/>
      <c r="K253" s="381"/>
      <c r="L253" s="381"/>
      <c r="M253" s="381"/>
      <c r="N253" s="381"/>
      <c r="O253" s="389" t="s">
        <v>289</v>
      </c>
      <c r="P253" s="389"/>
      <c r="Q253" s="365"/>
      <c r="R253" s="372">
        <f>VLOOKUP(Table2[[#This Row],[Course Title]],'TSD-Data'!$A$1:$E$56,4,FALSE)</f>
        <v>40</v>
      </c>
      <c r="S253" s="372">
        <f>VLOOKUP(Table2[[#This Row],[Course Title]],'TSD-Data'!$A$1:$F$53,6,FALSE)</f>
        <v>40</v>
      </c>
      <c r="T253" s="372">
        <f>VLOOKUP(Table2[[#This Row],[Course Title]],'TSD-Data'!$A$1:$E$56,5,FALSE)</f>
        <v>5</v>
      </c>
      <c r="U253" s="372">
        <v>40</v>
      </c>
      <c r="V253" s="372">
        <f>Table2[[#This Row],[Quotas]]-Table2[[#This Row],[Open Quotas]]</f>
        <v>26</v>
      </c>
      <c r="W253" s="372">
        <v>0</v>
      </c>
      <c r="X253" s="372">
        <v>27</v>
      </c>
      <c r="Y253" s="394">
        <v>0</v>
      </c>
      <c r="Z253" s="372">
        <v>1</v>
      </c>
      <c r="AA253" s="372">
        <v>2</v>
      </c>
      <c r="AB253" s="367">
        <v>0</v>
      </c>
      <c r="AC253" s="372" t="s">
        <v>287</v>
      </c>
      <c r="AD253" s="394">
        <f ca="1">Table2[[#This Row],[End Date]]+2-TODAY()</f>
        <v>-10</v>
      </c>
      <c r="AE253" s="372">
        <f>IF(ISBLANK(Table2[[#This Row],[Received by]]),1,0)</f>
        <v>0</v>
      </c>
      <c r="AF253" s="372">
        <f ca="1">IF(Table2[[#This Row],[Start Date]]&gt;TODAY(),1,)</f>
        <v>0</v>
      </c>
      <c r="AG253" s="372">
        <f>IF(ISBLANK(Table2[[#This Row],[Primary Instructor]]),0,1)</f>
        <v>1</v>
      </c>
      <c r="AH253" s="372">
        <f>IF(ISBLANK(Table2[[#This Row],[Instructor 2]]),0,1)</f>
        <v>0</v>
      </c>
      <c r="AI253" s="372">
        <f>Table2[[#This Row],[Course Length (Hours)]]/(SUM(Table2[[#This Row],[1]:[2]]))</f>
        <v>40</v>
      </c>
      <c r="AJ253" s="372">
        <v>14</v>
      </c>
      <c r="AK253" s="372">
        <v>3</v>
      </c>
    </row>
    <row r="254" spans="1:37" s="373" customFormat="1" x14ac:dyDescent="0.25">
      <c r="A254" s="429" t="s">
        <v>470</v>
      </c>
      <c r="B254" s="411" t="s">
        <v>28</v>
      </c>
      <c r="C254" s="367" t="str">
        <f>VLOOKUP(Table2[[#This Row],[Course Title]],'TSD-Data'!$A$1:$E$56,2,FALSE)</f>
        <v>A-493-0013</v>
      </c>
      <c r="D254" s="367">
        <f>VLOOKUP(Table2[[#This Row],[Course Title]],'TSD-Data'!$A$1:$E$56,3,FALSE)</f>
        <v>3683</v>
      </c>
      <c r="E254" s="399" t="s">
        <v>213</v>
      </c>
      <c r="F254" s="478">
        <v>45761</v>
      </c>
      <c r="G254" s="478">
        <v>45763</v>
      </c>
      <c r="H254" s="370">
        <v>0.33333333333333331</v>
      </c>
      <c r="I254" s="381"/>
      <c r="J254" s="421"/>
      <c r="K254" s="421"/>
      <c r="L254" s="421"/>
      <c r="M254" s="421"/>
      <c r="N254" s="421"/>
      <c r="O254" s="429" t="s">
        <v>257</v>
      </c>
      <c r="P254" s="389"/>
      <c r="Q254" s="365"/>
      <c r="R254" s="372">
        <f>VLOOKUP(Table2[[#This Row],[Course Title]],'TSD-Data'!$A$1:$E$56,4,FALSE)</f>
        <v>40</v>
      </c>
      <c r="S254" s="372">
        <f>VLOOKUP(Table2[[#This Row],[Course Title]],'TSD-Data'!$A$1:$F$53,6,FALSE)</f>
        <v>24</v>
      </c>
      <c r="T254" s="372">
        <f>VLOOKUP(Table2[[#This Row],[Course Title]],'TSD-Data'!$A$1:$E$56,5,FALSE)</f>
        <v>3</v>
      </c>
      <c r="U254" s="372">
        <v>20</v>
      </c>
      <c r="V254" s="372">
        <f>Table2[[#This Row],[Quotas]]-Table2[[#This Row],[Open Quotas]]</f>
        <v>24</v>
      </c>
      <c r="W254" s="372">
        <v>0</v>
      </c>
      <c r="X254" s="372">
        <v>24</v>
      </c>
      <c r="Y254" s="394">
        <v>0</v>
      </c>
      <c r="Z254" s="372">
        <v>8</v>
      </c>
      <c r="AA254" s="372">
        <v>8</v>
      </c>
      <c r="AB254" s="367">
        <v>24</v>
      </c>
      <c r="AC254" s="372" t="s">
        <v>287</v>
      </c>
      <c r="AD254" s="394">
        <f ca="1">Table2[[#This Row],[End Date]]+2-TODAY()</f>
        <v>-12</v>
      </c>
      <c r="AE254" s="372">
        <f>IF(ISBLANK(Table2[[#This Row],[Received by]]),1,0)</f>
        <v>0</v>
      </c>
      <c r="AF254" s="372">
        <f ca="1">IF(Table2[[#This Row],[Start Date]]&gt;TODAY(),1,)</f>
        <v>0</v>
      </c>
      <c r="AG254" s="372">
        <f>IF(ISBLANK(Table2[[#This Row],[Primary Instructor]]),0,1)</f>
        <v>1</v>
      </c>
      <c r="AH254" s="372">
        <f>IF(ISBLANK(Table2[[#This Row],[Instructor 2]]),0,1)</f>
        <v>0</v>
      </c>
      <c r="AI254" s="372">
        <f>Table2[[#This Row],[Course Length (Hours)]]/(SUM(Table2[[#This Row],[1]:[2]]))</f>
        <v>24</v>
      </c>
      <c r="AJ254" s="372">
        <v>16</v>
      </c>
      <c r="AK254" s="372">
        <v>3</v>
      </c>
    </row>
    <row r="255" spans="1:37" s="373" customFormat="1" x14ac:dyDescent="0.25">
      <c r="A255" s="433"/>
      <c r="B255" s="426" t="s">
        <v>32</v>
      </c>
      <c r="C255" s="438" t="str">
        <f>VLOOKUP(Table2[[#This Row],[Course Title]],'TSD-Data'!$A$1:$E$56,2,FALSE)</f>
        <v>A-493-2300</v>
      </c>
      <c r="D255" s="438" t="str">
        <f>VLOOKUP(Table2[[#This Row],[Course Title]],'TSD-Data'!$A$1:$E$56,3,FALSE)</f>
        <v>993F</v>
      </c>
      <c r="E255" s="426" t="s">
        <v>162</v>
      </c>
      <c r="F255" s="507">
        <v>45761</v>
      </c>
      <c r="G255" s="507">
        <v>45762</v>
      </c>
      <c r="H255" s="417">
        <v>0.33333333333333331</v>
      </c>
      <c r="I255" s="417"/>
      <c r="J255" s="417"/>
      <c r="K255" s="417"/>
      <c r="L255" s="417"/>
      <c r="M255" s="417"/>
      <c r="N255" s="417"/>
      <c r="O255" s="437" t="s">
        <v>280</v>
      </c>
      <c r="P255" s="437"/>
      <c r="Q255" s="365"/>
      <c r="R255" s="439">
        <f>VLOOKUP(Table2[[#This Row],[Course Title]],'TSD-Data'!$A$1:$E$56,4,FALSE)</f>
        <v>30</v>
      </c>
      <c r="S255" s="439">
        <f>VLOOKUP(Table2[[#This Row],[Course Title]],'TSD-Data'!$A$1:$F$53,6,FALSE)</f>
        <v>16</v>
      </c>
      <c r="T255" s="439">
        <f>VLOOKUP(Table2[[#This Row],[Course Title]],'TSD-Data'!$A$1:$E$56,5,FALSE)</f>
        <v>2</v>
      </c>
      <c r="U255" s="439">
        <v>20</v>
      </c>
      <c r="V255" s="439">
        <f>Table2[[#This Row],[Quotas]]-Table2[[#This Row],[Open Quotas]]</f>
        <v>10</v>
      </c>
      <c r="W255" s="439">
        <v>0</v>
      </c>
      <c r="X255" s="439"/>
      <c r="Y255" s="440"/>
      <c r="Z255" s="439"/>
      <c r="AA255" s="439"/>
      <c r="AB255" s="439"/>
      <c r="AC255" s="439"/>
      <c r="AD255" s="440">
        <f ca="1">Table2[[#This Row],[End Date]]+2-TODAY()</f>
        <v>-13</v>
      </c>
      <c r="AE255" s="439">
        <f>IF(ISBLANK(Table2[[#This Row],[Received by]]),1,0)</f>
        <v>1</v>
      </c>
      <c r="AF255" s="439">
        <f ca="1">IF(Table2[[#This Row],[Start Date]]&gt;TODAY(),1,)</f>
        <v>0</v>
      </c>
      <c r="AG255" s="439">
        <f>IF(ISBLANK(Table2[[#This Row],[Primary Instructor]]),0,1)</f>
        <v>1</v>
      </c>
      <c r="AH255" s="439">
        <f>IF(ISBLANK(Table2[[#This Row],[Instructor 2]]),0,1)</f>
        <v>0</v>
      </c>
      <c r="AI255" s="439">
        <f>Table2[[#This Row],[Course Length (Hours)]]/(SUM(Table2[[#This Row],[1]:[2]]))</f>
        <v>16</v>
      </c>
      <c r="AJ255" s="439">
        <v>20</v>
      </c>
      <c r="AK255" s="439">
        <v>3</v>
      </c>
    </row>
    <row r="256" spans="1:37" s="408" customFormat="1" x14ac:dyDescent="0.25">
      <c r="A256" s="437" t="s">
        <v>446</v>
      </c>
      <c r="B256" s="426" t="s">
        <v>355</v>
      </c>
      <c r="C256" s="438" t="str">
        <f>VLOOKUP(Table2[[#This Row],[Course Title]],'TSD-Data'!$A$1:$E$56,2,FALSE)</f>
        <v>PDS</v>
      </c>
      <c r="D256" s="438" t="str">
        <f>VLOOKUP(Table2[[#This Row],[Course Title]],'TSD-Data'!$A$1:$E$56,3,FALSE)</f>
        <v>PDS</v>
      </c>
      <c r="E256" s="426"/>
      <c r="F256" s="418">
        <v>45761</v>
      </c>
      <c r="G256" s="418">
        <v>45765</v>
      </c>
      <c r="H256" s="418"/>
      <c r="I256" s="443"/>
      <c r="J256" s="417"/>
      <c r="K256" s="417"/>
      <c r="L256" s="417"/>
      <c r="M256" s="417"/>
      <c r="N256" s="417"/>
      <c r="O256" s="437"/>
      <c r="P256" s="437"/>
      <c r="Q256" s="365"/>
      <c r="R256" s="439">
        <f>VLOOKUP(Table2[[#This Row],[Course Title]],'TSD-Data'!$A$1:$E$56,4,FALSE)</f>
        <v>0</v>
      </c>
      <c r="S256" s="439">
        <f>VLOOKUP(Table2[[#This Row],[Course Title]],'TSD-Data'!$A$1:$F$53,6,FALSE)</f>
        <v>0</v>
      </c>
      <c r="T256" s="439">
        <f>VLOOKUP(Table2[[#This Row],[Course Title]],'TSD-Data'!$A$1:$E$56,5,FALSE)</f>
        <v>0</v>
      </c>
      <c r="U256" s="439">
        <v>0</v>
      </c>
      <c r="V256" s="439">
        <f>Table2[[#This Row],[Quotas]]-Table2[[#This Row],[Open Quotas]]</f>
        <v>0</v>
      </c>
      <c r="W256" s="439">
        <v>0</v>
      </c>
      <c r="X256" s="439">
        <v>0</v>
      </c>
      <c r="Y256" s="439">
        <v>0</v>
      </c>
      <c r="Z256" s="439">
        <v>0</v>
      </c>
      <c r="AA256" s="439">
        <v>0</v>
      </c>
      <c r="AB256" s="439">
        <v>0</v>
      </c>
      <c r="AC256" s="439" t="s">
        <v>285</v>
      </c>
      <c r="AD256" s="440">
        <f ca="1">Table2[[#This Row],[End Date]]+2-TODAY()</f>
        <v>-10</v>
      </c>
      <c r="AE256" s="439">
        <f>IF(ISBLANK(Table2[[#This Row],[Received by]]),1,0)</f>
        <v>0</v>
      </c>
      <c r="AF256" s="439">
        <f ca="1">IF(Table2[[#This Row],[Start Date]]&gt;TODAY(),1,)</f>
        <v>0</v>
      </c>
      <c r="AG256" s="439">
        <f>IF(ISBLANK(Table2[[#This Row],[Primary Instructor]]),0,1)</f>
        <v>0</v>
      </c>
      <c r="AH256" s="439">
        <f>IF(ISBLANK(Table2[[#This Row],[Instructor 2]]),0,1)</f>
        <v>0</v>
      </c>
      <c r="AI256" s="439" t="e">
        <f>Table2[[#This Row],[Course Length (Hours)]]/(SUM(Table2[[#This Row],[1]:[2]]))</f>
        <v>#DIV/0!</v>
      </c>
      <c r="AJ256" s="439"/>
      <c r="AK256" s="439">
        <v>3</v>
      </c>
    </row>
    <row r="257" spans="1:37" s="408" customFormat="1" x14ac:dyDescent="0.25">
      <c r="A257" s="437" t="s">
        <v>446</v>
      </c>
      <c r="B257" s="426" t="s">
        <v>355</v>
      </c>
      <c r="C257" s="438" t="str">
        <f>VLOOKUP(Table2[[#This Row],[Course Title]],'TSD-Data'!$A$1:$E$56,2,FALSE)</f>
        <v>PDS</v>
      </c>
      <c r="D257" s="438" t="str">
        <f>VLOOKUP(Table2[[#This Row],[Course Title]],'TSD-Data'!$A$1:$E$56,3,FALSE)</f>
        <v>PDS</v>
      </c>
      <c r="E257" s="426" t="s">
        <v>86</v>
      </c>
      <c r="F257" s="418">
        <v>45761</v>
      </c>
      <c r="G257" s="418">
        <v>45765</v>
      </c>
      <c r="H257" s="417"/>
      <c r="I257" s="417"/>
      <c r="J257" s="418"/>
      <c r="K257" s="418"/>
      <c r="L257" s="418"/>
      <c r="M257" s="418"/>
      <c r="N257" s="418"/>
      <c r="O257" s="437"/>
      <c r="P257" s="437"/>
      <c r="Q257" s="365"/>
      <c r="R257" s="439">
        <f>VLOOKUP(Table2[[#This Row],[Course Title]],'TSD-Data'!$A$1:$E$56,4,FALSE)</f>
        <v>0</v>
      </c>
      <c r="S257" s="439">
        <f>VLOOKUP(Table2[[#This Row],[Course Title]],'TSD-Data'!$A$1:$F$53,6,FALSE)</f>
        <v>0</v>
      </c>
      <c r="T257" s="439">
        <f>VLOOKUP(Table2[[#This Row],[Course Title]],'TSD-Data'!$A$1:$E$56,5,FALSE)</f>
        <v>0</v>
      </c>
      <c r="U257" s="439">
        <v>0</v>
      </c>
      <c r="V257" s="439">
        <f>Table2[[#This Row],[Quotas]]-Table2[[#This Row],[Open Quotas]]</f>
        <v>0</v>
      </c>
      <c r="W257" s="439">
        <v>0</v>
      </c>
      <c r="X257" s="439">
        <v>0</v>
      </c>
      <c r="Y257" s="439">
        <v>0</v>
      </c>
      <c r="Z257" s="439">
        <v>0</v>
      </c>
      <c r="AA257" s="439">
        <v>0</v>
      </c>
      <c r="AB257" s="439">
        <v>0</v>
      </c>
      <c r="AC257" s="439" t="s">
        <v>285</v>
      </c>
      <c r="AD257" s="440">
        <f ca="1">Table2[[#This Row],[End Date]]+2-TODAY()</f>
        <v>-10</v>
      </c>
      <c r="AE257" s="439">
        <f>IF(ISBLANK(Table2[[#This Row],[Received by]]),1,0)</f>
        <v>0</v>
      </c>
      <c r="AF257" s="439">
        <f ca="1">IF(Table2[[#This Row],[Start Date]]&gt;TODAY(),1,)</f>
        <v>0</v>
      </c>
      <c r="AG257" s="439">
        <f>IF(ISBLANK(Table2[[#This Row],[Primary Instructor]]),0,1)</f>
        <v>0</v>
      </c>
      <c r="AH257" s="439">
        <f>IF(ISBLANK(Table2[[#This Row],[Instructor 2]]),0,1)</f>
        <v>0</v>
      </c>
      <c r="AI257" s="439" t="e">
        <f>Table2[[#This Row],[Course Length (Hours)]]/(SUM(Table2[[#This Row],[1]:[2]]))</f>
        <v>#DIV/0!</v>
      </c>
      <c r="AJ257" s="439"/>
      <c r="AK257" s="441"/>
    </row>
    <row r="258" spans="1:37" s="373" customFormat="1" x14ac:dyDescent="0.25">
      <c r="A258" s="401"/>
      <c r="B258" s="411" t="s">
        <v>59</v>
      </c>
      <c r="C258" s="374" t="str">
        <f>VLOOKUP(Table2[[#This Row],[Course Title]],'TSD-Data'!$A$1:$E$56,2,FALSE)</f>
        <v>A-493-0550</v>
      </c>
      <c r="D258" s="374" t="str">
        <f>VLOOKUP(Table2[[#This Row],[Course Title]],'TSD-Data'!$A$1:$E$56,3,FALSE)</f>
        <v>09K5</v>
      </c>
      <c r="E258" s="411" t="s">
        <v>86</v>
      </c>
      <c r="F258" s="391">
        <v>45762</v>
      </c>
      <c r="G258" s="391">
        <v>45765</v>
      </c>
      <c r="H258" s="412"/>
      <c r="I258" s="380">
        <v>0.5</v>
      </c>
      <c r="J258" s="380">
        <v>0.375</v>
      </c>
      <c r="K258" s="380">
        <v>0.79166666666666663</v>
      </c>
      <c r="L258" s="380">
        <v>0.75</v>
      </c>
      <c r="M258" s="380">
        <v>0.25</v>
      </c>
      <c r="N258" s="380">
        <v>4.1666666666666664E-2</v>
      </c>
      <c r="O258" s="401" t="s">
        <v>301</v>
      </c>
      <c r="P258" s="401"/>
      <c r="Q258" s="365"/>
      <c r="R258" s="378">
        <f>VLOOKUP(Table2[[#This Row],[Course Title]],'TSD-Data'!$A$1:$E$56,4,FALSE)</f>
        <v>45</v>
      </c>
      <c r="S258" s="378">
        <f>VLOOKUP(Table2[[#This Row],[Course Title]],'TSD-Data'!$A$1:$F$53,6,FALSE)</f>
        <v>32</v>
      </c>
      <c r="T258" s="378">
        <f>VLOOKUP(Table2[[#This Row],[Course Title]],'TSD-Data'!$A$1:$E$56,5,FALSE)</f>
        <v>4</v>
      </c>
      <c r="U258" s="378">
        <v>949</v>
      </c>
      <c r="V258" s="378">
        <f>Table2[[#This Row],[Quotas]]-Table2[[#This Row],[Open Quotas]]</f>
        <v>45</v>
      </c>
      <c r="W258" s="378">
        <v>0</v>
      </c>
      <c r="X258" s="378">
        <v>41</v>
      </c>
      <c r="Y258" s="403">
        <v>0</v>
      </c>
      <c r="Z258" s="378">
        <v>3</v>
      </c>
      <c r="AA258" s="378">
        <v>0</v>
      </c>
      <c r="AB258" s="374">
        <v>0</v>
      </c>
      <c r="AC258" s="378" t="s">
        <v>291</v>
      </c>
      <c r="AD258" s="403">
        <f ca="1">Table2[[#This Row],[End Date]]+2-TODAY()</f>
        <v>-10</v>
      </c>
      <c r="AE258" s="378">
        <f>IF(ISBLANK(Table2[[#This Row],[Received by]]),1,0)</f>
        <v>0</v>
      </c>
      <c r="AF258" s="378">
        <f ca="1">IF(Table2[[#This Row],[Start Date]]&gt;TODAY(),1,)</f>
        <v>0</v>
      </c>
      <c r="AG258" s="378">
        <f>IF(ISBLANK(Table2[[#This Row],[Primary Instructor]]),0,1)</f>
        <v>1</v>
      </c>
      <c r="AH258" s="378">
        <f>IF(ISBLANK(Table2[[#This Row],[Instructor 2]]),0,1)</f>
        <v>0</v>
      </c>
      <c r="AI258" s="378">
        <f>Table2[[#This Row],[Course Length (Hours)]]/(SUM(Table2[[#This Row],[1]:[2]]))</f>
        <v>32</v>
      </c>
      <c r="AJ258" s="378">
        <v>0</v>
      </c>
      <c r="AK258" s="378">
        <v>3</v>
      </c>
    </row>
    <row r="259" spans="1:37" s="408" customFormat="1" x14ac:dyDescent="0.25">
      <c r="A259" s="437"/>
      <c r="B259" s="426" t="s">
        <v>33</v>
      </c>
      <c r="C259" s="438" t="str">
        <f>VLOOKUP(Table2[[#This Row],[Course Title]],'TSD-Data'!$A$1:$E$56,2,FALSE)</f>
        <v>A-493-2301</v>
      </c>
      <c r="D259" s="438" t="str">
        <f>VLOOKUP(Table2[[#This Row],[Course Title]],'TSD-Data'!$A$1:$E$56,3,FALSE)</f>
        <v>05ZD</v>
      </c>
      <c r="E259" s="426" t="s">
        <v>162</v>
      </c>
      <c r="F259" s="418">
        <v>45763</v>
      </c>
      <c r="G259" s="418">
        <v>45763</v>
      </c>
      <c r="H259" s="417">
        <v>0.33333333333333331</v>
      </c>
      <c r="I259" s="417"/>
      <c r="J259" s="417"/>
      <c r="K259" s="417"/>
      <c r="L259" s="417"/>
      <c r="M259" s="417"/>
      <c r="N259" s="417"/>
      <c r="O259" s="437" t="s">
        <v>280</v>
      </c>
      <c r="P259" s="437"/>
      <c r="Q259" s="365"/>
      <c r="R259" s="439">
        <f>VLOOKUP(Table2[[#This Row],[Course Title]],'TSD-Data'!$A$1:$E$56,4,FALSE)</f>
        <v>30</v>
      </c>
      <c r="S259" s="439">
        <f>VLOOKUP(Table2[[#This Row],[Course Title]],'TSD-Data'!$A$1:$F$53,6,FALSE)</f>
        <v>8</v>
      </c>
      <c r="T259" s="439">
        <f>VLOOKUP(Table2[[#This Row],[Course Title]],'TSD-Data'!$A$1:$E$56,5,FALSE)</f>
        <v>1</v>
      </c>
      <c r="U259" s="439">
        <v>35</v>
      </c>
      <c r="V259" s="439">
        <f>Table2[[#This Row],[Quotas]]-Table2[[#This Row],[Open Quotas]]</f>
        <v>23</v>
      </c>
      <c r="W259" s="439">
        <v>0</v>
      </c>
      <c r="X259" s="439"/>
      <c r="Y259" s="440"/>
      <c r="Z259" s="439"/>
      <c r="AA259" s="439"/>
      <c r="AB259" s="439"/>
      <c r="AC259" s="439"/>
      <c r="AD259" s="440">
        <f ca="1">Table2[[#This Row],[End Date]]+2-TODAY()</f>
        <v>-12</v>
      </c>
      <c r="AE259" s="439">
        <f>IF(ISBLANK(Table2[[#This Row],[Received by]]),1,0)</f>
        <v>1</v>
      </c>
      <c r="AF259" s="439">
        <f ca="1">IF(Table2[[#This Row],[Start Date]]&gt;TODAY(),1,)</f>
        <v>0</v>
      </c>
      <c r="AG259" s="439">
        <f>IF(ISBLANK(Table2[[#This Row],[Primary Instructor]]),0,1)</f>
        <v>1</v>
      </c>
      <c r="AH259" s="439">
        <f>IF(ISBLANK(Table2[[#This Row],[Instructor 2]]),0,1)</f>
        <v>0</v>
      </c>
      <c r="AI259" s="439">
        <f>Table2[[#This Row],[Course Length (Hours)]]/(SUM(Table2[[#This Row],[1]:[2]]))</f>
        <v>8</v>
      </c>
      <c r="AJ259" s="439">
        <v>7</v>
      </c>
      <c r="AK259" s="439">
        <v>3</v>
      </c>
    </row>
    <row r="260" spans="1:37" s="408" customFormat="1" x14ac:dyDescent="0.25">
      <c r="A260" s="437"/>
      <c r="B260" s="426" t="s">
        <v>35</v>
      </c>
      <c r="C260" s="438" t="str">
        <f>VLOOKUP(Table2[[#This Row],[Course Title]],'TSD-Data'!$A$1:$E$56,2,FALSE)</f>
        <v>A-493-2501</v>
      </c>
      <c r="D260" s="438" t="str">
        <f>VLOOKUP(Table2[[#This Row],[Course Title]],'TSD-Data'!$A$1:$E$56,3,FALSE)</f>
        <v>05ZE</v>
      </c>
      <c r="E260" s="448" t="s">
        <v>162</v>
      </c>
      <c r="F260" s="418">
        <v>45764</v>
      </c>
      <c r="G260" s="418">
        <v>45764</v>
      </c>
      <c r="H260" s="417">
        <v>0.33333333333333331</v>
      </c>
      <c r="I260" s="417"/>
      <c r="J260" s="417"/>
      <c r="K260" s="417"/>
      <c r="L260" s="417"/>
      <c r="M260" s="417"/>
      <c r="N260" s="417"/>
      <c r="O260" s="437" t="s">
        <v>280</v>
      </c>
      <c r="P260" s="437"/>
      <c r="Q260" s="365"/>
      <c r="R260" s="439">
        <f>VLOOKUP(Table2[[#This Row],[Course Title]],'TSD-Data'!$A$1:$E$56,4,FALSE)</f>
        <v>30</v>
      </c>
      <c r="S260" s="439">
        <f>VLOOKUP(Table2[[#This Row],[Course Title]],'TSD-Data'!$A$1:$F$53,6,FALSE)</f>
        <v>8</v>
      </c>
      <c r="T260" s="439">
        <f>VLOOKUP(Table2[[#This Row],[Course Title]],'TSD-Data'!$A$1:$E$56,5,FALSE)</f>
        <v>1</v>
      </c>
      <c r="U260" s="439">
        <v>42</v>
      </c>
      <c r="V260" s="439">
        <f>Table2[[#This Row],[Quotas]]-Table2[[#This Row],[Open Quotas]]</f>
        <v>30</v>
      </c>
      <c r="W260" s="439">
        <v>0</v>
      </c>
      <c r="X260" s="439"/>
      <c r="Y260" s="440"/>
      <c r="Z260" s="439"/>
      <c r="AA260" s="439"/>
      <c r="AB260" s="439"/>
      <c r="AC260" s="439"/>
      <c r="AD260" s="440">
        <f ca="1">Table2[[#This Row],[End Date]]+2-TODAY()</f>
        <v>-11</v>
      </c>
      <c r="AE260" s="439">
        <f>IF(ISBLANK(Table2[[#This Row],[Received by]]),1,0)</f>
        <v>1</v>
      </c>
      <c r="AF260" s="439">
        <f ca="1">IF(Table2[[#This Row],[Start Date]]&gt;TODAY(),1,)</f>
        <v>0</v>
      </c>
      <c r="AG260" s="439">
        <f>IF(ISBLANK(Table2[[#This Row],[Primary Instructor]]),0,1)</f>
        <v>1</v>
      </c>
      <c r="AH260" s="439">
        <f>IF(ISBLANK(Table2[[#This Row],[Instructor 2]]),0,1)</f>
        <v>0</v>
      </c>
      <c r="AI260" s="439">
        <f>Table2[[#This Row],[Course Length (Hours)]]/(SUM(Table2[[#This Row],[1]:[2]]))</f>
        <v>8</v>
      </c>
      <c r="AJ260" s="439">
        <v>0</v>
      </c>
      <c r="AK260" s="439">
        <v>3</v>
      </c>
    </row>
    <row r="261" spans="1:37" s="373" customFormat="1" x14ac:dyDescent="0.25">
      <c r="A261" s="429" t="s">
        <v>461</v>
      </c>
      <c r="B261" s="411" t="s">
        <v>17</v>
      </c>
      <c r="C261" s="367" t="str">
        <f>VLOOKUP(Table2[[#This Row],[Course Title]],'TSD-Data'!$A$1:$E$56,2,FALSE)</f>
        <v>A-493-0012</v>
      </c>
      <c r="D261" s="367">
        <f>VLOOKUP(Table2[[#This Row],[Course Title]],'TSD-Data'!$A$1:$E$56,3,FALSE)</f>
        <v>3682</v>
      </c>
      <c r="E261" s="411" t="s">
        <v>220</v>
      </c>
      <c r="F261" s="391">
        <v>45768</v>
      </c>
      <c r="G261" s="391">
        <v>45772</v>
      </c>
      <c r="H261" s="370">
        <v>0.33333333333333331</v>
      </c>
      <c r="I261" s="381"/>
      <c r="J261" s="443"/>
      <c r="K261" s="421"/>
      <c r="L261" s="421"/>
      <c r="M261" s="421"/>
      <c r="N261" s="421"/>
      <c r="O261" s="389" t="s">
        <v>257</v>
      </c>
      <c r="P261" s="389"/>
      <c r="Q261" s="365"/>
      <c r="R261" s="372">
        <f>VLOOKUP(Table2[[#This Row],[Course Title]],'TSD-Data'!$A$1:$E$56,4,FALSE)</f>
        <v>40</v>
      </c>
      <c r="S261" s="372">
        <f>VLOOKUP(Table2[[#This Row],[Course Title]],'TSD-Data'!$A$1:$F$53,6,FALSE)</f>
        <v>40</v>
      </c>
      <c r="T261" s="372">
        <f>VLOOKUP(Table2[[#This Row],[Course Title]],'TSD-Data'!$A$1:$E$56,5,FALSE)</f>
        <v>5</v>
      </c>
      <c r="U261" s="372">
        <v>20</v>
      </c>
      <c r="V261" s="372">
        <f>Table2[[#This Row],[Quotas]]-Table2[[#This Row],[Open Quotas]]</f>
        <v>27</v>
      </c>
      <c r="W261" s="372">
        <v>0</v>
      </c>
      <c r="X261" s="372">
        <v>28</v>
      </c>
      <c r="Y261" s="394">
        <v>0</v>
      </c>
      <c r="Z261" s="372">
        <v>1</v>
      </c>
      <c r="AA261" s="372">
        <v>3</v>
      </c>
      <c r="AB261" s="367">
        <v>0</v>
      </c>
      <c r="AC261" s="372" t="s">
        <v>287</v>
      </c>
      <c r="AD261" s="394">
        <f ca="1">Table2[[#This Row],[End Date]]+2-TODAY()</f>
        <v>-3</v>
      </c>
      <c r="AE261" s="372">
        <f>IF(ISBLANK(Table2[[#This Row],[Received by]]),1,0)</f>
        <v>0</v>
      </c>
      <c r="AF261" s="372">
        <f ca="1">IF(Table2[[#This Row],[Start Date]]&gt;TODAY(),1,)</f>
        <v>0</v>
      </c>
      <c r="AG261" s="372">
        <f>IF(ISBLANK(Table2[[#This Row],[Primary Instructor]]),0,1)</f>
        <v>1</v>
      </c>
      <c r="AH261" s="372">
        <f>IF(ISBLANK(Table2[[#This Row],[Instructor 2]]),0,1)</f>
        <v>0</v>
      </c>
      <c r="AI261" s="372">
        <f>Table2[[#This Row],[Course Length (Hours)]]/(SUM(Table2[[#This Row],[1]:[2]]))</f>
        <v>40</v>
      </c>
      <c r="AJ261" s="372">
        <v>13</v>
      </c>
      <c r="AK261" s="372">
        <v>3</v>
      </c>
    </row>
    <row r="262" spans="1:37" s="408" customFormat="1" x14ac:dyDescent="0.25">
      <c r="A262" s="437" t="s">
        <v>447</v>
      </c>
      <c r="B262" s="426" t="s">
        <v>355</v>
      </c>
      <c r="C262" s="438" t="str">
        <f>VLOOKUP(Table2[[#This Row],[Course Title]],'TSD-Data'!$A$1:$E$56,2,FALSE)</f>
        <v>PDS</v>
      </c>
      <c r="D262" s="438" t="str">
        <f>VLOOKUP(Table2[[#This Row],[Course Title]],'TSD-Data'!$A$1:$E$56,3,FALSE)</f>
        <v>PDS</v>
      </c>
      <c r="E262" s="426"/>
      <c r="F262" s="418">
        <v>45768</v>
      </c>
      <c r="G262" s="418">
        <v>45773</v>
      </c>
      <c r="H262" s="418"/>
      <c r="I262" s="443"/>
      <c r="J262" s="417"/>
      <c r="K262" s="417"/>
      <c r="L262" s="417"/>
      <c r="M262" s="417"/>
      <c r="N262" s="417"/>
      <c r="O262" s="437" t="s">
        <v>330</v>
      </c>
      <c r="P262" s="437"/>
      <c r="Q262" s="365"/>
      <c r="R262" s="439">
        <f>VLOOKUP(Table2[[#This Row],[Course Title]],'TSD-Data'!$A$1:$E$56,4,FALSE)</f>
        <v>0</v>
      </c>
      <c r="S262" s="439">
        <f>VLOOKUP(Table2[[#This Row],[Course Title]],'TSD-Data'!$A$1:$F$53,6,FALSE)</f>
        <v>0</v>
      </c>
      <c r="T262" s="439">
        <f>VLOOKUP(Table2[[#This Row],[Course Title]],'TSD-Data'!$A$1:$E$56,5,FALSE)</f>
        <v>0</v>
      </c>
      <c r="U262" s="439">
        <v>0</v>
      </c>
      <c r="V262" s="439">
        <f>Table2[[#This Row],[Quotas]]-Table2[[#This Row],[Open Quotas]]</f>
        <v>0</v>
      </c>
      <c r="W262" s="439">
        <v>0</v>
      </c>
      <c r="X262" s="439">
        <v>0</v>
      </c>
      <c r="Y262" s="439">
        <v>0</v>
      </c>
      <c r="Z262" s="439">
        <v>0</v>
      </c>
      <c r="AA262" s="439">
        <v>0</v>
      </c>
      <c r="AB262" s="439">
        <v>0</v>
      </c>
      <c r="AC262" s="439" t="s">
        <v>285</v>
      </c>
      <c r="AD262" s="440">
        <f ca="1">Table2[[#This Row],[End Date]]+2-TODAY()</f>
        <v>-2</v>
      </c>
      <c r="AE262" s="439">
        <f>IF(ISBLANK(Table2[[#This Row],[Received by]]),1,0)</f>
        <v>0</v>
      </c>
      <c r="AF262" s="439">
        <f ca="1">IF(Table2[[#This Row],[Start Date]]&gt;TODAY(),1,)</f>
        <v>0</v>
      </c>
      <c r="AG262" s="439">
        <f>IF(ISBLANK(Table2[[#This Row],[Primary Instructor]]),0,1)</f>
        <v>1</v>
      </c>
      <c r="AH262" s="439">
        <f>IF(ISBLANK(Table2[[#This Row],[Instructor 2]]),0,1)</f>
        <v>0</v>
      </c>
      <c r="AI262" s="439">
        <f>Table2[[#This Row],[Course Length (Hours)]]/(SUM(Table2[[#This Row],[1]:[2]]))</f>
        <v>0</v>
      </c>
      <c r="AJ262" s="439"/>
      <c r="AK262" s="439">
        <v>3</v>
      </c>
    </row>
    <row r="263" spans="1:37" s="408" customFormat="1" x14ac:dyDescent="0.25">
      <c r="A263" s="437" t="s">
        <v>447</v>
      </c>
      <c r="B263" s="426" t="s">
        <v>355</v>
      </c>
      <c r="C263" s="438" t="str">
        <f>VLOOKUP(Table2[[#This Row],[Course Title]],'TSD-Data'!$A$1:$E$56,2,FALSE)</f>
        <v>PDS</v>
      </c>
      <c r="D263" s="438" t="str">
        <f>VLOOKUP(Table2[[#This Row],[Course Title]],'TSD-Data'!$A$1:$E$56,3,FALSE)</f>
        <v>PDS</v>
      </c>
      <c r="E263" s="426" t="s">
        <v>86</v>
      </c>
      <c r="F263" s="418">
        <v>45768</v>
      </c>
      <c r="G263" s="418">
        <v>45773</v>
      </c>
      <c r="H263" s="417"/>
      <c r="I263" s="417"/>
      <c r="J263" s="418"/>
      <c r="K263" s="418"/>
      <c r="L263" s="418"/>
      <c r="M263" s="418"/>
      <c r="N263" s="418"/>
      <c r="O263" s="437"/>
      <c r="P263" s="437"/>
      <c r="Q263" s="365"/>
      <c r="R263" s="439">
        <f>VLOOKUP(Table2[[#This Row],[Course Title]],'TSD-Data'!$A$1:$E$56,4,FALSE)</f>
        <v>0</v>
      </c>
      <c r="S263" s="439">
        <f>VLOOKUP(Table2[[#This Row],[Course Title]],'TSD-Data'!$A$1:$F$53,6,FALSE)</f>
        <v>0</v>
      </c>
      <c r="T263" s="439">
        <f>VLOOKUP(Table2[[#This Row],[Course Title]],'TSD-Data'!$A$1:$E$56,5,FALSE)</f>
        <v>0</v>
      </c>
      <c r="U263" s="439">
        <v>0</v>
      </c>
      <c r="V263" s="439">
        <f>Table2[[#This Row],[Quotas]]-Table2[[#This Row],[Open Quotas]]</f>
        <v>0</v>
      </c>
      <c r="W263" s="439">
        <v>0</v>
      </c>
      <c r="X263" s="439">
        <v>0</v>
      </c>
      <c r="Y263" s="439">
        <v>0</v>
      </c>
      <c r="Z263" s="439">
        <v>0</v>
      </c>
      <c r="AA263" s="439">
        <v>0</v>
      </c>
      <c r="AB263" s="439">
        <v>0</v>
      </c>
      <c r="AC263" s="439" t="s">
        <v>285</v>
      </c>
      <c r="AD263" s="440">
        <f ca="1">Table2[[#This Row],[End Date]]+2-TODAY()</f>
        <v>-2</v>
      </c>
      <c r="AE263" s="439">
        <f>IF(ISBLANK(Table2[[#This Row],[Received by]]),1,0)</f>
        <v>0</v>
      </c>
      <c r="AF263" s="439">
        <f ca="1">IF(Table2[[#This Row],[Start Date]]&gt;TODAY(),1,)</f>
        <v>0</v>
      </c>
      <c r="AG263" s="439">
        <f>IF(ISBLANK(Table2[[#This Row],[Primary Instructor]]),0,1)</f>
        <v>0</v>
      </c>
      <c r="AH263" s="439">
        <f>IF(ISBLANK(Table2[[#This Row],[Instructor 2]]),0,1)</f>
        <v>0</v>
      </c>
      <c r="AI263" s="439" t="e">
        <f>Table2[[#This Row],[Course Length (Hours)]]/(SUM(Table2[[#This Row],[1]:[2]]))</f>
        <v>#DIV/0!</v>
      </c>
      <c r="AJ263" s="439"/>
      <c r="AK263" s="441"/>
    </row>
    <row r="264" spans="1:37" s="408" customFormat="1" x14ac:dyDescent="0.25">
      <c r="A264" s="429" t="s">
        <v>540</v>
      </c>
      <c r="B264" s="426" t="s">
        <v>358</v>
      </c>
      <c r="C264" s="427" t="str">
        <f>VLOOKUP(Table2[[#This Row],[Course Title]],'TSD-Data'!$A$1:$E$56,2,FALSE)</f>
        <v>Reserved</v>
      </c>
      <c r="D264" s="427" t="str">
        <f>VLOOKUP(Table2[[#This Row],[Course Title]],'TSD-Data'!$A$1:$E$56,3,FALSE)</f>
        <v xml:space="preserve">Reserved </v>
      </c>
      <c r="E264" s="426" t="s">
        <v>199</v>
      </c>
      <c r="F264" s="418">
        <v>45769</v>
      </c>
      <c r="G264" s="418">
        <v>45770</v>
      </c>
      <c r="H264" s="422">
        <v>800</v>
      </c>
      <c r="I264" s="422">
        <v>800</v>
      </c>
      <c r="J264" s="422">
        <v>800</v>
      </c>
      <c r="K264" s="422">
        <v>800</v>
      </c>
      <c r="L264" s="422">
        <v>800</v>
      </c>
      <c r="M264" s="422">
        <v>800</v>
      </c>
      <c r="N264" s="417">
        <v>800</v>
      </c>
      <c r="O264" s="429"/>
      <c r="P264" s="429"/>
      <c r="Q264" s="365"/>
      <c r="R264" s="414">
        <f>VLOOKUP(Table2[[#This Row],[Course Title]],'TSD-Data'!$A$1:$E$56,4,FALSE)</f>
        <v>0</v>
      </c>
      <c r="S264" s="414">
        <f>VLOOKUP(Table2[[#This Row],[Course Title]],'TSD-Data'!$A$1:$F$53,6,FALSE)</f>
        <v>0</v>
      </c>
      <c r="T264" s="414">
        <f>VLOOKUP(Table2[[#This Row],[Course Title]],'TSD-Data'!$A$1:$E$56,5,FALSE)</f>
        <v>0</v>
      </c>
      <c r="U264" s="453">
        <v>0</v>
      </c>
      <c r="V264" s="453">
        <f>Table2[[#This Row],[Quotas]]-Table2[[#This Row],[Open Quotas]]</f>
        <v>0</v>
      </c>
      <c r="W264" s="453">
        <v>0</v>
      </c>
      <c r="X264" s="453">
        <v>0</v>
      </c>
      <c r="Y264" s="453">
        <v>0</v>
      </c>
      <c r="Z264" s="453">
        <v>0</v>
      </c>
      <c r="AA264" s="453">
        <v>0</v>
      </c>
      <c r="AB264" s="453">
        <v>0</v>
      </c>
      <c r="AC264" s="414" t="s">
        <v>285</v>
      </c>
      <c r="AD264" s="419">
        <f ca="1">Table2[[#This Row],[End Date]]+2-TODAY()</f>
        <v>-5</v>
      </c>
      <c r="AE264" s="414">
        <f>IF(ISBLANK(Table2[[#This Row],[Received by]]),1,0)</f>
        <v>0</v>
      </c>
      <c r="AF264" s="414">
        <f ca="1">IF(Table2[[#This Row],[Start Date]]&gt;TODAY(),1,)</f>
        <v>0</v>
      </c>
      <c r="AG264" s="414">
        <f>IF(ISBLANK(Table2[[#This Row],[Primary Instructor]]),0,1)</f>
        <v>0</v>
      </c>
      <c r="AH264" s="414">
        <f>IF(ISBLANK(Table2[[#This Row],[Instructor 2]]),0,1)</f>
        <v>0</v>
      </c>
      <c r="AI264" s="414" t="e">
        <f>Table2[[#This Row],[Course Length (Hours)]]/(SUM(Table2[[#This Row],[1]:[2]]))</f>
        <v>#DIV/0!</v>
      </c>
      <c r="AJ264" s="414"/>
      <c r="AK264" s="414"/>
    </row>
    <row r="265" spans="1:37" s="373" customFormat="1" x14ac:dyDescent="0.25">
      <c r="A265" s="429"/>
      <c r="B265" s="411" t="s">
        <v>28</v>
      </c>
      <c r="C265" s="367" t="str">
        <f>VLOOKUP(Table2[[#This Row],[Course Title]],'TSD-Data'!$A$1:$E$56,2,FALSE)</f>
        <v>A-493-0013</v>
      </c>
      <c r="D265" s="367">
        <f>VLOOKUP(Table2[[#This Row],[Course Title]],'TSD-Data'!$A$1:$E$56,3,FALSE)</f>
        <v>3683</v>
      </c>
      <c r="E265" s="384" t="s">
        <v>206</v>
      </c>
      <c r="F265" s="391">
        <v>45769</v>
      </c>
      <c r="G265" s="391">
        <v>45771</v>
      </c>
      <c r="H265" s="377">
        <v>0.33333333333333331</v>
      </c>
      <c r="I265" s="412"/>
      <c r="J265" s="418"/>
      <c r="K265" s="418"/>
      <c r="L265" s="418"/>
      <c r="M265" s="418"/>
      <c r="N265" s="418"/>
      <c r="O265" s="437" t="s">
        <v>283</v>
      </c>
      <c r="P265" s="389"/>
      <c r="Q265" s="365"/>
      <c r="R265" s="372">
        <f>VLOOKUP(Table2[[#This Row],[Course Title]],'TSD-Data'!$A$1:$E$56,4,FALSE)</f>
        <v>40</v>
      </c>
      <c r="S265" s="372">
        <f>VLOOKUP(Table2[[#This Row],[Course Title]],'TSD-Data'!$A$1:$F$53,6,FALSE)</f>
        <v>24</v>
      </c>
      <c r="T265" s="372">
        <f>VLOOKUP(Table2[[#This Row],[Course Title]],'TSD-Data'!$A$1:$E$56,5,FALSE)</f>
        <v>3</v>
      </c>
      <c r="U265" s="372">
        <v>21</v>
      </c>
      <c r="V265" s="372">
        <f>Table2[[#This Row],[Quotas]]-Table2[[#This Row],[Open Quotas]]</f>
        <v>17</v>
      </c>
      <c r="W265" s="372">
        <v>0</v>
      </c>
      <c r="X265" s="372">
        <v>15</v>
      </c>
      <c r="Y265" s="394">
        <v>0</v>
      </c>
      <c r="Z265" s="372">
        <v>2</v>
      </c>
      <c r="AA265" s="372">
        <v>0</v>
      </c>
      <c r="AB265" s="367">
        <v>0</v>
      </c>
      <c r="AC265" s="372" t="s">
        <v>287</v>
      </c>
      <c r="AD265" s="394">
        <f ca="1">Table2[[#This Row],[End Date]]+2-TODAY()</f>
        <v>-4</v>
      </c>
      <c r="AE265" s="372">
        <f>IF(ISBLANK(Table2[[#This Row],[Received by]]),1,0)</f>
        <v>0</v>
      </c>
      <c r="AF265" s="372">
        <f ca="1">IF(Table2[[#This Row],[Start Date]]&gt;TODAY(),1,)</f>
        <v>0</v>
      </c>
      <c r="AG265" s="372">
        <f>IF(ISBLANK(Table2[[#This Row],[Primary Instructor]]),0,1)</f>
        <v>1</v>
      </c>
      <c r="AH265" s="372">
        <f>IF(ISBLANK(Table2[[#This Row],[Instructor 2]]),0,1)</f>
        <v>0</v>
      </c>
      <c r="AI265" s="372">
        <f>Table2[[#This Row],[Course Length (Hours)]]/(SUM(Table2[[#This Row],[1]:[2]]))</f>
        <v>24</v>
      </c>
      <c r="AJ265" s="372">
        <v>23</v>
      </c>
      <c r="AK265" s="372">
        <v>3</v>
      </c>
    </row>
    <row r="266" spans="1:37" s="408" customFormat="1" x14ac:dyDescent="0.25">
      <c r="A266" s="437"/>
      <c r="B266" s="426" t="s">
        <v>37</v>
      </c>
      <c r="C266" s="438" t="str">
        <f>VLOOKUP(Table2[[#This Row],[Course Title]],'TSD-Data'!$A$1:$E$56,2,FALSE)</f>
        <v>A-493-0665</v>
      </c>
      <c r="D266" s="438" t="str">
        <f>VLOOKUP(Table2[[#This Row],[Course Title]],'TSD-Data'!$A$1:$E$56,3,FALSE)</f>
        <v>10KW</v>
      </c>
      <c r="E266" s="426" t="s">
        <v>86</v>
      </c>
      <c r="F266" s="418">
        <v>45775</v>
      </c>
      <c r="G266" s="418">
        <v>45777</v>
      </c>
      <c r="H266" s="417"/>
      <c r="I266" s="443">
        <v>0.5</v>
      </c>
      <c r="J266" s="443">
        <v>0.375</v>
      </c>
      <c r="K266" s="443">
        <v>0.79166666666666663</v>
      </c>
      <c r="L266" s="443">
        <v>0.75</v>
      </c>
      <c r="M266" s="443">
        <v>0.25</v>
      </c>
      <c r="N266" s="443">
        <v>4.1666666666666664E-2</v>
      </c>
      <c r="O266" s="437" t="s">
        <v>286</v>
      </c>
      <c r="P266" s="437"/>
      <c r="Q266" s="365"/>
      <c r="R266" s="439">
        <f>VLOOKUP(Table2[[#This Row],[Course Title]],'TSD-Data'!$A$1:$E$56,4,FALSE)</f>
        <v>45</v>
      </c>
      <c r="S266" s="439">
        <f>VLOOKUP(Table2[[#This Row],[Course Title]],'TSD-Data'!$A$1:$F$53,6,FALSE)</f>
        <v>24</v>
      </c>
      <c r="T266" s="439">
        <f>VLOOKUP(Table2[[#This Row],[Course Title]],'TSD-Data'!$A$1:$E$56,5,FALSE)</f>
        <v>3</v>
      </c>
      <c r="U266" s="439">
        <v>405</v>
      </c>
      <c r="V266" s="439">
        <f>Table2[[#This Row],[Quotas]]-Table2[[#This Row],[Open Quotas]]</f>
        <v>23</v>
      </c>
      <c r="W266" s="439">
        <v>0</v>
      </c>
      <c r="X266" s="439"/>
      <c r="Y266" s="440"/>
      <c r="Z266" s="439"/>
      <c r="AA266" s="439"/>
      <c r="AB266" s="439"/>
      <c r="AC266" s="439"/>
      <c r="AD266" s="440">
        <f ca="1">Table2[[#This Row],[End Date]]+2-TODAY()</f>
        <v>2</v>
      </c>
      <c r="AE266" s="439">
        <f>IF(ISBLANK(Table2[[#This Row],[Received by]]),1,0)</f>
        <v>1</v>
      </c>
      <c r="AF266" s="439">
        <f ca="1">IF(Table2[[#This Row],[Start Date]]&gt;TODAY(),1,)</f>
        <v>0</v>
      </c>
      <c r="AG266" s="439">
        <f>IF(ISBLANK(Table2[[#This Row],[Primary Instructor]]),0,1)</f>
        <v>1</v>
      </c>
      <c r="AH266" s="439">
        <f>IF(ISBLANK(Table2[[#This Row],[Instructor 2]]),0,1)</f>
        <v>0</v>
      </c>
      <c r="AI266" s="439">
        <f>Table2[[#This Row],[Course Length (Hours)]]/(SUM(Table2[[#This Row],[1]:[2]]))</f>
        <v>24</v>
      </c>
      <c r="AJ266" s="439">
        <v>22</v>
      </c>
      <c r="AK266" s="439">
        <v>3</v>
      </c>
    </row>
    <row r="267" spans="1:37" s="408" customFormat="1" x14ac:dyDescent="0.25">
      <c r="A267" s="429"/>
      <c r="B267" s="426" t="s">
        <v>55</v>
      </c>
      <c r="C267" s="427" t="str">
        <f>VLOOKUP(Table2[[#This Row],[Course Title]],'TSD-Data'!$A$1:$E$56,2,FALSE)</f>
        <v>A-493-0103</v>
      </c>
      <c r="D267" s="427" t="str">
        <f>VLOOKUP(Table2[[#This Row],[Course Title]],'TSD-Data'!$A$1:$E$56,3,FALSE)</f>
        <v>12JY</v>
      </c>
      <c r="E267" s="426" t="s">
        <v>212</v>
      </c>
      <c r="F267" s="418">
        <v>45775</v>
      </c>
      <c r="G267" s="418">
        <v>45779</v>
      </c>
      <c r="H267" s="422">
        <v>0.33333333333333331</v>
      </c>
      <c r="I267" s="422"/>
      <c r="J267" s="418"/>
      <c r="K267" s="420"/>
      <c r="L267" s="420"/>
      <c r="M267" s="420"/>
      <c r="N267" s="420"/>
      <c r="O267" s="429" t="s">
        <v>314</v>
      </c>
      <c r="P267" s="429"/>
      <c r="Q267" s="365"/>
      <c r="R267" s="414">
        <f>VLOOKUP(Table2[[#This Row],[Course Title]],'TSD-Data'!$A$1:$E$56,4,FALSE)</f>
        <v>25</v>
      </c>
      <c r="S267" s="414">
        <f>VLOOKUP(Table2[[#This Row],[Course Title]],'TSD-Data'!$A$1:$F$53,6,FALSE)</f>
        <v>40</v>
      </c>
      <c r="T267" s="414">
        <f>VLOOKUP(Table2[[#This Row],[Course Title]],'TSD-Data'!$A$1:$E$56,5,FALSE)</f>
        <v>5</v>
      </c>
      <c r="U267" s="414">
        <v>248</v>
      </c>
      <c r="V267" s="414">
        <f>Table2[[#This Row],[Quotas]]-Table2[[#This Row],[Open Quotas]]</f>
        <v>22</v>
      </c>
      <c r="W267" s="414">
        <v>0</v>
      </c>
      <c r="X267" s="414"/>
      <c r="Y267" s="419"/>
      <c r="Z267" s="414"/>
      <c r="AA267" s="414"/>
      <c r="AB267" s="427"/>
      <c r="AC267" s="414"/>
      <c r="AD267" s="419">
        <f ca="1">Table2[[#This Row],[End Date]]+2-TODAY()</f>
        <v>4</v>
      </c>
      <c r="AE267" s="414">
        <f>IF(ISBLANK(Table2[[#This Row],[Received by]]),1,0)</f>
        <v>1</v>
      </c>
      <c r="AF267" s="414">
        <f ca="1">IF(Table2[[#This Row],[Start Date]]&gt;TODAY(),1,)</f>
        <v>0</v>
      </c>
      <c r="AG267" s="414">
        <f>IF(ISBLANK(Table2[[#This Row],[Primary Instructor]]),0,1)</f>
        <v>1</v>
      </c>
      <c r="AH267" s="414">
        <f>IF(ISBLANK(Table2[[#This Row],[Instructor 2]]),0,1)</f>
        <v>0</v>
      </c>
      <c r="AI267" s="414">
        <f>Table2[[#This Row],[Course Length (Hours)]]/(SUM(Table2[[#This Row],[1]:[2]]))</f>
        <v>40</v>
      </c>
      <c r="AJ267" s="414">
        <v>3</v>
      </c>
      <c r="AK267" s="414">
        <v>3</v>
      </c>
    </row>
    <row r="268" spans="1:37" s="408" customFormat="1" x14ac:dyDescent="0.25">
      <c r="A268" s="429" t="s">
        <v>404</v>
      </c>
      <c r="B268" s="426" t="s">
        <v>17</v>
      </c>
      <c r="C268" s="427" t="str">
        <f>VLOOKUP(Table2[[#This Row],[Course Title]],'TSD-Data'!$A$1:$E$56,2,FALSE)</f>
        <v>A-493-0012</v>
      </c>
      <c r="D268" s="427">
        <f>VLOOKUP(Table2[[#This Row],[Course Title]],'TSD-Data'!$A$1:$E$56,3,FALSE)</f>
        <v>3682</v>
      </c>
      <c r="E268" s="426" t="s">
        <v>168</v>
      </c>
      <c r="F268" s="418">
        <v>45775</v>
      </c>
      <c r="G268" s="418">
        <v>45779</v>
      </c>
      <c r="H268" s="422">
        <v>0.33333333333333331</v>
      </c>
      <c r="I268" s="422"/>
      <c r="J268" s="418"/>
      <c r="K268" s="420"/>
      <c r="L268" s="420"/>
      <c r="M268" s="420"/>
      <c r="N268" s="420"/>
      <c r="O268" s="429" t="s">
        <v>283</v>
      </c>
      <c r="P268" s="429"/>
      <c r="Q268" s="365"/>
      <c r="R268" s="419">
        <f>VLOOKUP(Table2[[#This Row],[Course Title]],'TSD-Data'!$A$1:$E$56,4,FALSE)</f>
        <v>40</v>
      </c>
      <c r="S268" s="414">
        <f>VLOOKUP(Table2[[#This Row],[Course Title]],'TSD-Data'!$A$1:$F$53,6,FALSE)</f>
        <v>40</v>
      </c>
      <c r="T268" s="447">
        <f>VLOOKUP(Table2[[#This Row],[Course Title]],'TSD-Data'!$A$1:$E$56,5,FALSE)</f>
        <v>5</v>
      </c>
      <c r="U268" s="447">
        <v>0</v>
      </c>
      <c r="V268" s="414">
        <f>Table2[[#This Row],[Quotas]]-Table2[[#This Row],[Open Quotas]]</f>
        <v>20</v>
      </c>
      <c r="W268" s="414">
        <v>0</v>
      </c>
      <c r="X268" s="419"/>
      <c r="Y268" s="419"/>
      <c r="Z268" s="414"/>
      <c r="AA268" s="414"/>
      <c r="AB268" s="427"/>
      <c r="AC268" s="414"/>
      <c r="AD268" s="419">
        <f ca="1">Table2[[#This Row],[End Date]]+2-TODAY()</f>
        <v>4</v>
      </c>
      <c r="AE268" s="414">
        <f>IF(ISBLANK(Table2[[#This Row],[Received by]]),1,0)</f>
        <v>1</v>
      </c>
      <c r="AF268" s="414">
        <f ca="1">IF(Table2[[#This Row],[Start Date]]&gt;TODAY(),1,)</f>
        <v>0</v>
      </c>
      <c r="AG268" s="414">
        <f>IF(ISBLANK(Table2[[#This Row],[Primary Instructor]]),0,1)</f>
        <v>1</v>
      </c>
      <c r="AH268" s="414">
        <f>IF(ISBLANK(Table2[[#This Row],[Instructor 2]]),0,1)</f>
        <v>0</v>
      </c>
      <c r="AI268" s="414">
        <f>Table2[[#This Row],[Course Length (Hours)]]/(SUM(Table2[[#This Row],[1]:[2]]))</f>
        <v>40</v>
      </c>
      <c r="AJ268" s="414">
        <v>20</v>
      </c>
      <c r="AK268" s="414">
        <v>3</v>
      </c>
    </row>
    <row r="269" spans="1:37" s="408" customFormat="1" x14ac:dyDescent="0.25">
      <c r="A269" s="429" t="s">
        <v>471</v>
      </c>
      <c r="B269" s="426" t="s">
        <v>28</v>
      </c>
      <c r="C269" s="427" t="str">
        <f>VLOOKUP(Table2[[#This Row],[Course Title]],'TSD-Data'!$A$1:$E$56,2,FALSE)</f>
        <v>A-493-0013</v>
      </c>
      <c r="D269" s="427">
        <f>VLOOKUP(Table2[[#This Row],[Course Title]],'TSD-Data'!$A$1:$E$56,3,FALSE)</f>
        <v>3683</v>
      </c>
      <c r="E269" s="433" t="s">
        <v>181</v>
      </c>
      <c r="F269" s="420">
        <v>45775</v>
      </c>
      <c r="G269" s="420">
        <v>45777</v>
      </c>
      <c r="H269" s="422">
        <v>0.33333333333333331</v>
      </c>
      <c r="I269" s="421"/>
      <c r="J269" s="421"/>
      <c r="K269" s="421"/>
      <c r="L269" s="421"/>
      <c r="M269" s="421"/>
      <c r="N269" s="421"/>
      <c r="O269" s="429" t="s">
        <v>257</v>
      </c>
      <c r="P269" s="429"/>
      <c r="Q269" s="365"/>
      <c r="R269" s="414">
        <f>VLOOKUP(Table2[[#This Row],[Course Title]],'TSD-Data'!$A$1:$E$56,4,FALSE)</f>
        <v>40</v>
      </c>
      <c r="S269" s="414">
        <f>VLOOKUP(Table2[[#This Row],[Course Title]],'TSD-Data'!$A$1:$F$53,6,FALSE)</f>
        <v>24</v>
      </c>
      <c r="T269" s="414">
        <f>VLOOKUP(Table2[[#This Row],[Course Title]],'TSD-Data'!$A$1:$E$56,5,FALSE)</f>
        <v>3</v>
      </c>
      <c r="U269" s="414">
        <v>30</v>
      </c>
      <c r="V269" s="414">
        <f>Table2[[#This Row],[Quotas]]-Table2[[#This Row],[Open Quotas]]</f>
        <v>8</v>
      </c>
      <c r="W269" s="414">
        <v>0</v>
      </c>
      <c r="X269" s="414"/>
      <c r="Y269" s="419"/>
      <c r="Z269" s="414"/>
      <c r="AA269" s="414"/>
      <c r="AB269" s="427"/>
      <c r="AC269" s="414"/>
      <c r="AD269" s="419">
        <f ca="1">Table2[[#This Row],[End Date]]+2-TODAY()</f>
        <v>2</v>
      </c>
      <c r="AE269" s="414">
        <f>IF(ISBLANK(Table2[[#This Row],[Received by]]),1,0)</f>
        <v>1</v>
      </c>
      <c r="AF269" s="414">
        <f ca="1">IF(Table2[[#This Row],[Start Date]]&gt;TODAY(),1,)</f>
        <v>0</v>
      </c>
      <c r="AG269" s="414">
        <f>IF(ISBLANK(Table2[[#This Row],[Primary Instructor]]),0,1)</f>
        <v>1</v>
      </c>
      <c r="AH269" s="414">
        <f>IF(ISBLANK(Table2[[#This Row],[Instructor 2]]),0,1)</f>
        <v>0</v>
      </c>
      <c r="AI269" s="414">
        <f>Table2[[#This Row],[Course Length (Hours)]]/(SUM(Table2[[#This Row],[1]:[2]]))</f>
        <v>24</v>
      </c>
      <c r="AJ269" s="414">
        <v>32</v>
      </c>
      <c r="AK269" s="414">
        <v>3</v>
      </c>
    </row>
    <row r="270" spans="1:37" s="408" customFormat="1" x14ac:dyDescent="0.25">
      <c r="A270" s="437"/>
      <c r="B270" s="426" t="s">
        <v>32</v>
      </c>
      <c r="C270" s="438" t="str">
        <f>VLOOKUP(Table2[[#This Row],[Course Title]],'TSD-Data'!$A$1:$E$56,2,FALSE)</f>
        <v>A-493-2300</v>
      </c>
      <c r="D270" s="438" t="str">
        <f>VLOOKUP(Table2[[#This Row],[Course Title]],'TSD-Data'!$A$1:$E$56,3,FALSE)</f>
        <v>993F</v>
      </c>
      <c r="E270" s="426" t="s">
        <v>213</v>
      </c>
      <c r="F270" s="418">
        <v>45775</v>
      </c>
      <c r="G270" s="418">
        <v>45776</v>
      </c>
      <c r="H270" s="417">
        <v>0.33333333333333331</v>
      </c>
      <c r="I270" s="417"/>
      <c r="J270" s="417"/>
      <c r="K270" s="417"/>
      <c r="L270" s="417"/>
      <c r="M270" s="417"/>
      <c r="N270" s="417"/>
      <c r="O270" s="437" t="s">
        <v>280</v>
      </c>
      <c r="P270" s="437"/>
      <c r="Q270" s="365"/>
      <c r="R270" s="439">
        <f>VLOOKUP(Table2[[#This Row],[Course Title]],'TSD-Data'!$A$1:$E$56,4,FALSE)</f>
        <v>30</v>
      </c>
      <c r="S270" s="439">
        <f>VLOOKUP(Table2[[#This Row],[Course Title]],'TSD-Data'!$A$1:$F$53,6,FALSE)</f>
        <v>16</v>
      </c>
      <c r="T270" s="439">
        <f>VLOOKUP(Table2[[#This Row],[Course Title]],'TSD-Data'!$A$1:$E$56,5,FALSE)</f>
        <v>2</v>
      </c>
      <c r="U270" s="439">
        <v>21</v>
      </c>
      <c r="V270" s="439">
        <f>Table2[[#This Row],[Quotas]]-Table2[[#This Row],[Open Quotas]]</f>
        <v>30</v>
      </c>
      <c r="W270" s="439">
        <v>0</v>
      </c>
      <c r="X270" s="439"/>
      <c r="Y270" s="440"/>
      <c r="Z270" s="439"/>
      <c r="AA270" s="439"/>
      <c r="AB270" s="439"/>
      <c r="AC270" s="439"/>
      <c r="AD270" s="440">
        <f ca="1">Table2[[#This Row],[End Date]]+2-TODAY()</f>
        <v>1</v>
      </c>
      <c r="AE270" s="439">
        <f>IF(ISBLANK(Table2[[#This Row],[Received by]]),1,0)</f>
        <v>1</v>
      </c>
      <c r="AF270" s="439">
        <f ca="1">IF(Table2[[#This Row],[Start Date]]&gt;TODAY(),1,)</f>
        <v>0</v>
      </c>
      <c r="AG270" s="439">
        <f>IF(ISBLANK(Table2[[#This Row],[Primary Instructor]]),0,1)</f>
        <v>1</v>
      </c>
      <c r="AH270" s="439">
        <f>IF(ISBLANK(Table2[[#This Row],[Instructor 2]]),0,1)</f>
        <v>0</v>
      </c>
      <c r="AI270" s="439">
        <f>Table2[[#This Row],[Course Length (Hours)]]/(SUM(Table2[[#This Row],[1]:[2]]))</f>
        <v>16</v>
      </c>
      <c r="AJ270" s="439">
        <v>0</v>
      </c>
      <c r="AK270" s="439">
        <v>3</v>
      </c>
    </row>
    <row r="271" spans="1:37" s="408" customFormat="1" x14ac:dyDescent="0.25">
      <c r="A271" s="437"/>
      <c r="B271" s="426" t="s">
        <v>51</v>
      </c>
      <c r="C271" s="438" t="str">
        <f>VLOOKUP(Table2[[#This Row],[Course Title]],'TSD-Data'!$A$1:$E$56,2,FALSE)</f>
        <v>A-493-0335</v>
      </c>
      <c r="D271" s="438" t="str">
        <f>VLOOKUP(Table2[[#This Row],[Course Title]],'TSD-Data'!$A$1:$E$56,3,FALSE)</f>
        <v>09ND</v>
      </c>
      <c r="E271" s="426" t="s">
        <v>86</v>
      </c>
      <c r="F271" s="452">
        <v>45775</v>
      </c>
      <c r="G271" s="418">
        <v>45778</v>
      </c>
      <c r="H271" s="417"/>
      <c r="I271" s="443">
        <v>0.5</v>
      </c>
      <c r="J271" s="443">
        <v>0.375</v>
      </c>
      <c r="K271" s="443">
        <v>0.79166666666666663</v>
      </c>
      <c r="L271" s="443">
        <v>0.75</v>
      </c>
      <c r="M271" s="443">
        <v>0.25</v>
      </c>
      <c r="N271" s="443">
        <v>4.1666666666666664E-2</v>
      </c>
      <c r="O271" s="437" t="s">
        <v>274</v>
      </c>
      <c r="P271" s="437"/>
      <c r="Q271" s="365"/>
      <c r="R271" s="439">
        <f>VLOOKUP(Table2[[#This Row],[Course Title]],'TSD-Data'!$A$1:$E$56,4,FALSE)</f>
        <v>45</v>
      </c>
      <c r="S271" s="439">
        <f>VLOOKUP(Table2[[#This Row],[Course Title]],'TSD-Data'!$A$1:$F$53,6,FALSE)</f>
        <v>32</v>
      </c>
      <c r="T271" s="439">
        <f>VLOOKUP(Table2[[#This Row],[Course Title]],'TSD-Data'!$A$1:$E$56,5,FALSE)</f>
        <v>4</v>
      </c>
      <c r="U271" s="439">
        <v>400</v>
      </c>
      <c r="V271" s="439">
        <f>Table2[[#This Row],[Quotas]]-Table2[[#This Row],[Open Quotas]]</f>
        <v>25</v>
      </c>
      <c r="W271" s="439">
        <v>0</v>
      </c>
      <c r="X271" s="439"/>
      <c r="Y271" s="440"/>
      <c r="Z271" s="439"/>
      <c r="AA271" s="439"/>
      <c r="AB271" s="439"/>
      <c r="AC271" s="439"/>
      <c r="AD271" s="440">
        <f ca="1">Table2[[#This Row],[End Date]]+2-TODAY()</f>
        <v>3</v>
      </c>
      <c r="AE271" s="439">
        <f>IF(ISBLANK(Table2[[#This Row],[Received by]]),1,0)</f>
        <v>1</v>
      </c>
      <c r="AF271" s="439">
        <f ca="1">IF(Table2[[#This Row],[Start Date]]&gt;TODAY(),1,)</f>
        <v>0</v>
      </c>
      <c r="AG271" s="439">
        <f>IF(ISBLANK(Table2[[#This Row],[Primary Instructor]]),0,1)</f>
        <v>1</v>
      </c>
      <c r="AH271" s="439">
        <f>IF(ISBLANK(Table2[[#This Row],[Instructor 2]]),0,1)</f>
        <v>0</v>
      </c>
      <c r="AI271" s="439">
        <f>Table2[[#This Row],[Course Length (Hours)]]/(SUM(Table2[[#This Row],[1]:[2]]))</f>
        <v>32</v>
      </c>
      <c r="AJ271" s="439">
        <v>20</v>
      </c>
      <c r="AK271" s="439">
        <v>3</v>
      </c>
    </row>
    <row r="272" spans="1:37" s="408" customFormat="1" x14ac:dyDescent="0.25">
      <c r="A272" s="437"/>
      <c r="B272" s="426" t="s">
        <v>59</v>
      </c>
      <c r="C272" s="438" t="str">
        <f>VLOOKUP(Table2[[#This Row],[Course Title]],'TSD-Data'!$A$1:$E$56,2,FALSE)</f>
        <v>A-493-0550</v>
      </c>
      <c r="D272" s="438" t="str">
        <f>VLOOKUP(Table2[[#This Row],[Course Title]],'TSD-Data'!$A$1:$E$56,3,FALSE)</f>
        <v>09K5</v>
      </c>
      <c r="E272" s="426" t="s">
        <v>86</v>
      </c>
      <c r="F272" s="418">
        <v>45775</v>
      </c>
      <c r="G272" s="418">
        <v>45778</v>
      </c>
      <c r="H272" s="418"/>
      <c r="I272" s="417">
        <v>0.45833333333333331</v>
      </c>
      <c r="J272" s="417">
        <v>0.33333333333333331</v>
      </c>
      <c r="K272" s="417">
        <v>0.75</v>
      </c>
      <c r="L272" s="417">
        <v>0.66666666666666663</v>
      </c>
      <c r="M272" s="417">
        <v>0.20833333333333334</v>
      </c>
      <c r="N272" s="417">
        <v>0</v>
      </c>
      <c r="O272" s="437" t="s">
        <v>301</v>
      </c>
      <c r="P272" s="437"/>
      <c r="Q272" s="365"/>
      <c r="R272" s="439">
        <f>VLOOKUP(Table2[[#This Row],[Course Title]],'TSD-Data'!$A$1:$E$56,4,FALSE)</f>
        <v>45</v>
      </c>
      <c r="S272" s="439">
        <f>VLOOKUP(Table2[[#This Row],[Course Title]],'TSD-Data'!$A$1:$F$53,6,FALSE)</f>
        <v>32</v>
      </c>
      <c r="T272" s="439">
        <f>VLOOKUP(Table2[[#This Row],[Course Title]],'TSD-Data'!$A$1:$E$56,5,FALSE)</f>
        <v>4</v>
      </c>
      <c r="U272" s="439">
        <v>949</v>
      </c>
      <c r="V272" s="439">
        <f>Table2[[#This Row],[Quotas]]-Table2[[#This Row],[Open Quotas]]</f>
        <v>45</v>
      </c>
      <c r="W272" s="439">
        <v>0</v>
      </c>
      <c r="X272" s="439"/>
      <c r="Y272" s="440"/>
      <c r="Z272" s="439"/>
      <c r="AA272" s="439"/>
      <c r="AB272" s="439"/>
      <c r="AC272" s="439"/>
      <c r="AD272" s="440">
        <f ca="1">Table2[[#This Row],[End Date]]+2-TODAY()</f>
        <v>3</v>
      </c>
      <c r="AE272" s="439">
        <f>IF(ISBLANK(Table2[[#This Row],[Received by]]),1,0)</f>
        <v>1</v>
      </c>
      <c r="AF272" s="439">
        <f ca="1">IF(Table2[[#This Row],[Start Date]]&gt;TODAY(),1,)</f>
        <v>0</v>
      </c>
      <c r="AG272" s="439">
        <f>IF(ISBLANK(Table2[[#This Row],[Primary Instructor]]),0,1)</f>
        <v>1</v>
      </c>
      <c r="AH272" s="439">
        <f>IF(ISBLANK(Table2[[#This Row],[Instructor 2]]),0,1)</f>
        <v>0</v>
      </c>
      <c r="AI272" s="439">
        <f>Table2[[#This Row],[Course Length (Hours)]]/(SUM(Table2[[#This Row],[1]:[2]]))</f>
        <v>32</v>
      </c>
      <c r="AJ272" s="439">
        <v>0</v>
      </c>
      <c r="AK272" s="439">
        <v>3</v>
      </c>
    </row>
    <row r="273" spans="1:37" s="408" customFormat="1" x14ac:dyDescent="0.25">
      <c r="A273" s="437"/>
      <c r="B273" s="426" t="s">
        <v>61</v>
      </c>
      <c r="C273" s="438" t="str">
        <f>VLOOKUP(Table2[[#This Row],[Course Title]],'TSD-Data'!$A$1:$E$56,2,FALSE)</f>
        <v>A-493-0078</v>
      </c>
      <c r="D273" s="438">
        <f>VLOOKUP(Table2[[#This Row],[Course Title]],'TSD-Data'!$A$1:$E$56,3,FALSE)</f>
        <v>1228</v>
      </c>
      <c r="E273" s="426" t="s">
        <v>86</v>
      </c>
      <c r="F273" s="418">
        <v>45775</v>
      </c>
      <c r="G273" s="418">
        <v>45778</v>
      </c>
      <c r="H273" s="417"/>
      <c r="I273" s="417">
        <v>0.33333333333333331</v>
      </c>
      <c r="J273" s="417">
        <v>0.20833333333333334</v>
      </c>
      <c r="K273" s="417">
        <v>0.625</v>
      </c>
      <c r="L273" s="417">
        <v>0.54166666666666663</v>
      </c>
      <c r="M273" s="417">
        <v>8.3333333333333329E-2</v>
      </c>
      <c r="N273" s="417">
        <v>0.875</v>
      </c>
      <c r="O273" s="437" t="s">
        <v>304</v>
      </c>
      <c r="P273" s="437"/>
      <c r="Q273" s="365"/>
      <c r="R273" s="440">
        <f>VLOOKUP(Table2[[#This Row],[Course Title]],'TSD-Data'!$A$1:$E$56,4,FALSE)</f>
        <v>45</v>
      </c>
      <c r="S273" s="439">
        <f>VLOOKUP(Table2[[#This Row],[Course Title]],'TSD-Data'!$A$1:$F$53,6,FALSE)</f>
        <v>32</v>
      </c>
      <c r="T273" s="439">
        <f>VLOOKUP(Table2[[#This Row],[Course Title]],'TSD-Data'!$A$1:$E$56,5,FALSE)</f>
        <v>4</v>
      </c>
      <c r="U273" s="439">
        <v>508</v>
      </c>
      <c r="V273" s="439">
        <f>Table2[[#This Row],[Quotas]]-Table2[[#This Row],[Open Quotas]]</f>
        <v>38</v>
      </c>
      <c r="W273" s="439">
        <v>0</v>
      </c>
      <c r="X273" s="440"/>
      <c r="Y273" s="440"/>
      <c r="Z273" s="439"/>
      <c r="AA273" s="439"/>
      <c r="AB273" s="438"/>
      <c r="AC273" s="439"/>
      <c r="AD273" s="440">
        <f ca="1">Table2[[#This Row],[End Date]]+2-TODAY()</f>
        <v>3</v>
      </c>
      <c r="AE273" s="439">
        <f>IF(ISBLANK(Table2[[#This Row],[Received by]]),1,0)</f>
        <v>1</v>
      </c>
      <c r="AF273" s="439">
        <f ca="1">IF(Table2[[#This Row],[Start Date]]&gt;TODAY(),1,)</f>
        <v>0</v>
      </c>
      <c r="AG273" s="439">
        <f>IF(ISBLANK(Table2[[#This Row],[Primary Instructor]]),0,1)</f>
        <v>1</v>
      </c>
      <c r="AH273" s="439">
        <f>IF(ISBLANK(Table2[[#This Row],[Instructor 2]]),0,1)</f>
        <v>0</v>
      </c>
      <c r="AI273" s="439">
        <f>Table2[[#This Row],[Course Length (Hours)]]/(SUM(Table2[[#This Row],[1]:[2]]))</f>
        <v>32</v>
      </c>
      <c r="AJ273" s="439">
        <v>7</v>
      </c>
      <c r="AK273" s="439">
        <v>3</v>
      </c>
    </row>
    <row r="274" spans="1:37" s="408" customFormat="1" x14ac:dyDescent="0.25">
      <c r="A274" s="429" t="s">
        <v>541</v>
      </c>
      <c r="B274" s="426" t="s">
        <v>358</v>
      </c>
      <c r="C274" s="427" t="str">
        <f>VLOOKUP(Table2[[#This Row],[Course Title]],'TSD-Data'!$A$1:$E$56,2,FALSE)</f>
        <v>Reserved</v>
      </c>
      <c r="D274" s="427"/>
      <c r="E274" s="426" t="s">
        <v>198</v>
      </c>
      <c r="F274" s="420">
        <v>45776</v>
      </c>
      <c r="G274" s="420">
        <v>45776</v>
      </c>
      <c r="H274" s="422"/>
      <c r="I274" s="422"/>
      <c r="J274" s="420"/>
      <c r="K274" s="420"/>
      <c r="L274" s="420"/>
      <c r="M274" s="420"/>
      <c r="N274" s="420"/>
      <c r="O274" s="429"/>
      <c r="P274" s="429"/>
      <c r="Q274" s="429"/>
      <c r="R274" s="414">
        <f>VLOOKUP(Table2[[#This Row],[Course Title]],'TSD-Data'!$A$1:$E$56,4,FALSE)</f>
        <v>0</v>
      </c>
      <c r="S274" s="414">
        <f>VLOOKUP(Table2[[#This Row],[Course Title]],'TSD-Data'!$A$1:$F$53,6,FALSE)</f>
        <v>0</v>
      </c>
      <c r="T274" s="447">
        <v>0</v>
      </c>
      <c r="U274" s="414">
        <v>0</v>
      </c>
      <c r="V274" s="414">
        <f>Table2[[#This Row],[Quotas]]-Table2[[#This Row],[Open Quotas]]</f>
        <v>0</v>
      </c>
      <c r="W274" s="414">
        <v>0</v>
      </c>
      <c r="X274" s="419">
        <v>0</v>
      </c>
      <c r="Y274" s="419">
        <v>0</v>
      </c>
      <c r="Z274" s="414">
        <v>0</v>
      </c>
      <c r="AA274" s="414">
        <v>0</v>
      </c>
      <c r="AB274" s="414">
        <v>0</v>
      </c>
      <c r="AC274" s="414" t="s">
        <v>285</v>
      </c>
      <c r="AD274" s="419">
        <f ca="1">Table2[[#This Row],[End Date]]+2-TODAY()</f>
        <v>1</v>
      </c>
      <c r="AE274" s="414">
        <f>IF(ISBLANK(Table2[[#This Row],[Received by]]),1,0)</f>
        <v>0</v>
      </c>
      <c r="AF274" s="414">
        <f ca="1">IF(Table2[[#This Row],[Start Date]]&gt;TODAY(),1,)</f>
        <v>0</v>
      </c>
      <c r="AG274" s="414">
        <f>IF(ISBLANK(Table2[[#This Row],[Primary Instructor]]),0,1)</f>
        <v>0</v>
      </c>
      <c r="AH274" s="414">
        <f>IF(ISBLANK(Table2[[#This Row],[Instructor 2]]),0,1)</f>
        <v>0</v>
      </c>
      <c r="AI274" s="414" t="e">
        <f>Table2[[#This Row],[Course Length (Hours)]]/(SUM(Table2[[#This Row],[1]:[2]]))</f>
        <v>#DIV/0!</v>
      </c>
      <c r="AJ274" s="414"/>
      <c r="AK274" s="414"/>
    </row>
    <row r="275" spans="1:37" s="408" customFormat="1" x14ac:dyDescent="0.25">
      <c r="A275" s="429"/>
      <c r="B275" s="426" t="s">
        <v>57</v>
      </c>
      <c r="C275" s="427" t="str">
        <f>VLOOKUP(Table2[[#This Row],[Course Title]],'TSD-Data'!$A$1:$E$56,2,FALSE)</f>
        <v>A-493-0099</v>
      </c>
      <c r="D275" s="427" t="str">
        <f>VLOOKUP(Table2[[#This Row],[Course Title]],'TSD-Data'!$A$1:$E$56,3,FALSE)</f>
        <v>12JW</v>
      </c>
      <c r="E275" s="426" t="s">
        <v>86</v>
      </c>
      <c r="F275" s="420">
        <v>45776</v>
      </c>
      <c r="G275" s="420">
        <v>45778</v>
      </c>
      <c r="H275" s="422"/>
      <c r="I275" s="422">
        <v>0.33333333333333331</v>
      </c>
      <c r="J275" s="422">
        <v>0.20833333333333334</v>
      </c>
      <c r="K275" s="422">
        <v>0.625</v>
      </c>
      <c r="L275" s="422">
        <v>0.54166666666666663</v>
      </c>
      <c r="M275" s="422">
        <v>8.3333333333333329E-2</v>
      </c>
      <c r="N275" s="422">
        <v>0.875</v>
      </c>
      <c r="O275" s="429" t="s">
        <v>305</v>
      </c>
      <c r="P275" s="429"/>
      <c r="Q275" s="365"/>
      <c r="R275" s="419">
        <f>VLOOKUP(Table2[[#This Row],[Course Title]],'TSD-Data'!$A$1:$E$56,4,FALSE)</f>
        <v>45</v>
      </c>
      <c r="S275" s="414">
        <f>VLOOKUP(Table2[[#This Row],[Course Title]],'TSD-Data'!$A$1:$F$53,6,FALSE)</f>
        <v>24</v>
      </c>
      <c r="T275" s="414">
        <f>VLOOKUP(Table2[[#This Row],[Course Title]],'TSD-Data'!$A$1:$E$56,5,FALSE)</f>
        <v>3</v>
      </c>
      <c r="U275" s="414">
        <v>368</v>
      </c>
      <c r="V275" s="414">
        <f>Table2[[#This Row],[Quotas]]-Table2[[#This Row],[Open Quotas]]</f>
        <v>30</v>
      </c>
      <c r="W275" s="414">
        <v>0</v>
      </c>
      <c r="X275" s="419"/>
      <c r="Y275" s="419"/>
      <c r="Z275" s="414"/>
      <c r="AA275" s="414"/>
      <c r="AB275" s="414"/>
      <c r="AC275" s="414"/>
      <c r="AD275" s="419">
        <f ca="1">Table2[[#This Row],[End Date]]+2-TODAY()</f>
        <v>3</v>
      </c>
      <c r="AE275" s="414">
        <f>IF(ISBLANK(Table2[[#This Row],[Received by]]),1,0)</f>
        <v>1</v>
      </c>
      <c r="AF275" s="414">
        <f ca="1">IF(Table2[[#This Row],[Start Date]]&gt;TODAY(),1,)</f>
        <v>0</v>
      </c>
      <c r="AG275" s="414">
        <f>IF(ISBLANK(Table2[[#This Row],[Primary Instructor]]),0,1)</f>
        <v>1</v>
      </c>
      <c r="AH275" s="414">
        <f>IF(ISBLANK(Table2[[#This Row],[Instructor 2]]),0,1)</f>
        <v>0</v>
      </c>
      <c r="AI275" s="414">
        <f>Table2[[#This Row],[Course Length (Hours)]]/(SUM(Table2[[#This Row],[1]:[2]]))</f>
        <v>24</v>
      </c>
      <c r="AJ275" s="414">
        <v>15</v>
      </c>
      <c r="AK275" s="414">
        <v>3</v>
      </c>
    </row>
    <row r="276" spans="1:37" s="408" customFormat="1" x14ac:dyDescent="0.25">
      <c r="A276" s="437"/>
      <c r="B276" s="426" t="s">
        <v>50</v>
      </c>
      <c r="C276" s="438" t="str">
        <f>VLOOKUP(Table2[[#This Row],[Course Title]],'TSD-Data'!$A$1:$E$56,2,FALSE)</f>
        <v>A-493-0331</v>
      </c>
      <c r="D276" s="438" t="str">
        <f>VLOOKUP(Table2[[#This Row],[Course Title]],'TSD-Data'!$A$1:$E$56,3,FALSE)</f>
        <v>10UG</v>
      </c>
      <c r="E276" s="433" t="s">
        <v>86</v>
      </c>
      <c r="F276" s="418">
        <v>45776</v>
      </c>
      <c r="G276" s="418">
        <v>45778</v>
      </c>
      <c r="H276" s="418"/>
      <c r="I276" s="443">
        <v>0.5</v>
      </c>
      <c r="J276" s="443">
        <v>0.375</v>
      </c>
      <c r="K276" s="443">
        <v>0.79166666666666663</v>
      </c>
      <c r="L276" s="443">
        <v>0.75</v>
      </c>
      <c r="M276" s="443">
        <v>0.25</v>
      </c>
      <c r="N276" s="443">
        <v>4.1666666666666664E-2</v>
      </c>
      <c r="O276" s="437" t="s">
        <v>318</v>
      </c>
      <c r="P276" s="437"/>
      <c r="Q276" s="365"/>
      <c r="R276" s="439">
        <f>VLOOKUP(Table2[[#This Row],[Course Title]],'TSD-Data'!$A$1:$E$56,4,FALSE)</f>
        <v>45</v>
      </c>
      <c r="S276" s="439">
        <f>VLOOKUP(Table2[[#This Row],[Course Title]],'TSD-Data'!$A$1:$F$53,6,FALSE)</f>
        <v>24</v>
      </c>
      <c r="T276" s="439">
        <f>VLOOKUP(Table2[[#This Row],[Course Title]],'TSD-Data'!$A$1:$E$56,5,FALSE)</f>
        <v>3</v>
      </c>
      <c r="U276" s="439">
        <v>805</v>
      </c>
      <c r="V276" s="439">
        <f>Table2[[#This Row],[Quotas]]-Table2[[#This Row],[Open Quotas]]</f>
        <v>45</v>
      </c>
      <c r="W276" s="439">
        <v>3</v>
      </c>
      <c r="X276" s="439"/>
      <c r="Y276" s="440"/>
      <c r="Z276" s="439"/>
      <c r="AA276" s="439"/>
      <c r="AB276" s="439"/>
      <c r="AC276" s="439"/>
      <c r="AD276" s="440">
        <f ca="1">Table2[[#This Row],[End Date]]+2-TODAY()</f>
        <v>3</v>
      </c>
      <c r="AE276" s="439">
        <f>IF(ISBLANK(Table2[[#This Row],[Received by]]),1,0)</f>
        <v>1</v>
      </c>
      <c r="AF276" s="439">
        <f ca="1">IF(Table2[[#This Row],[Start Date]]&gt;TODAY(),1,)</f>
        <v>0</v>
      </c>
      <c r="AG276" s="439">
        <f>IF(ISBLANK(Table2[[#This Row],[Primary Instructor]]),0,1)</f>
        <v>1</v>
      </c>
      <c r="AH276" s="439">
        <f>IF(ISBLANK(Table2[[#This Row],[Instructor 2]]),0,1)</f>
        <v>0</v>
      </c>
      <c r="AI276" s="439">
        <f>Table2[[#This Row],[Course Length (Hours)]]/(SUM(Table2[[#This Row],[1]:[2]]))</f>
        <v>24</v>
      </c>
      <c r="AJ276" s="439">
        <v>0</v>
      </c>
      <c r="AK276" s="439">
        <v>3</v>
      </c>
    </row>
    <row r="277" spans="1:37" s="408" customFormat="1" x14ac:dyDescent="0.25">
      <c r="A277" s="437"/>
      <c r="B277" s="426" t="s">
        <v>33</v>
      </c>
      <c r="C277" s="438" t="str">
        <f>VLOOKUP(Table2[[#This Row],[Course Title]],'TSD-Data'!$A$1:$E$56,2,FALSE)</f>
        <v>A-493-2301</v>
      </c>
      <c r="D277" s="438" t="str">
        <f>VLOOKUP(Table2[[#This Row],[Course Title]],'TSD-Data'!$A$1:$E$56,3,FALSE)</f>
        <v>05ZD</v>
      </c>
      <c r="E277" s="426" t="s">
        <v>213</v>
      </c>
      <c r="F277" s="418">
        <v>45777</v>
      </c>
      <c r="G277" s="418">
        <v>45777</v>
      </c>
      <c r="H277" s="417">
        <v>0.33333333333333331</v>
      </c>
      <c r="I277" s="417"/>
      <c r="J277" s="417"/>
      <c r="K277" s="417"/>
      <c r="L277" s="417"/>
      <c r="M277" s="417"/>
      <c r="N277" s="417"/>
      <c r="O277" s="437" t="s">
        <v>280</v>
      </c>
      <c r="P277" s="437"/>
      <c r="Q277" s="365"/>
      <c r="R277" s="439">
        <f>VLOOKUP(Table2[[#This Row],[Course Title]],'TSD-Data'!$A$1:$E$56,4,FALSE)</f>
        <v>30</v>
      </c>
      <c r="S277" s="439">
        <f>VLOOKUP(Table2[[#This Row],[Course Title]],'TSD-Data'!$A$1:$F$53,6,FALSE)</f>
        <v>8</v>
      </c>
      <c r="T277" s="439">
        <f>VLOOKUP(Table2[[#This Row],[Course Title]],'TSD-Data'!$A$1:$E$56,5,FALSE)</f>
        <v>1</v>
      </c>
      <c r="U277" s="439">
        <v>20</v>
      </c>
      <c r="V277" s="439">
        <f>Table2[[#This Row],[Quotas]]-Table2[[#This Row],[Open Quotas]]</f>
        <v>14</v>
      </c>
      <c r="W277" s="439">
        <v>0</v>
      </c>
      <c r="X277" s="439"/>
      <c r="Y277" s="440"/>
      <c r="Z277" s="439"/>
      <c r="AA277" s="439"/>
      <c r="AB277" s="439"/>
      <c r="AC277" s="439"/>
      <c r="AD277" s="440">
        <f ca="1">Table2[[#This Row],[End Date]]+2-TODAY()</f>
        <v>2</v>
      </c>
      <c r="AE277" s="439">
        <f>IF(ISBLANK(Table2[[#This Row],[Received by]]),1,0)</f>
        <v>1</v>
      </c>
      <c r="AF277" s="439">
        <f ca="1">IF(Table2[[#This Row],[Start Date]]&gt;TODAY(),1,)</f>
        <v>0</v>
      </c>
      <c r="AG277" s="439">
        <f>IF(ISBLANK(Table2[[#This Row],[Primary Instructor]]),0,1)</f>
        <v>1</v>
      </c>
      <c r="AH277" s="439">
        <f>IF(ISBLANK(Table2[[#This Row],[Instructor 2]]),0,1)</f>
        <v>0</v>
      </c>
      <c r="AI277" s="439">
        <f>Table2[[#This Row],[Course Length (Hours)]]/(SUM(Table2[[#This Row],[1]:[2]]))</f>
        <v>8</v>
      </c>
      <c r="AJ277" s="439">
        <v>16</v>
      </c>
      <c r="AK277" s="439">
        <v>3</v>
      </c>
    </row>
    <row r="278" spans="1:37" s="408" customFormat="1" x14ac:dyDescent="0.25">
      <c r="A278" s="429" t="s">
        <v>541</v>
      </c>
      <c r="B278" s="426" t="s">
        <v>358</v>
      </c>
      <c r="C278" s="427" t="str">
        <f>VLOOKUP(Table2[[#This Row],[Course Title]],'TSD-Data'!$A$1:$E$56,2,FALSE)</f>
        <v>Reserved</v>
      </c>
      <c r="D278" s="427"/>
      <c r="E278" s="426" t="s">
        <v>198</v>
      </c>
      <c r="F278" s="420">
        <v>45778</v>
      </c>
      <c r="G278" s="420">
        <v>45778</v>
      </c>
      <c r="H278" s="422"/>
      <c r="I278" s="422"/>
      <c r="J278" s="420"/>
      <c r="K278" s="420"/>
      <c r="L278" s="420"/>
      <c r="M278" s="420"/>
      <c r="N278" s="418"/>
      <c r="O278" s="429"/>
      <c r="P278" s="429"/>
      <c r="Q278" s="429"/>
      <c r="R278" s="414">
        <f>VLOOKUP(Table2[[#This Row],[Course Title]],'TSD-Data'!$A$1:$E$56,4,FALSE)</f>
        <v>0</v>
      </c>
      <c r="S278" s="414">
        <f>VLOOKUP(Table2[[#This Row],[Course Title]],'TSD-Data'!$A$1:$F$53,6,FALSE)</f>
        <v>0</v>
      </c>
      <c r="T278" s="447">
        <v>0</v>
      </c>
      <c r="U278" s="414">
        <v>0</v>
      </c>
      <c r="V278" s="414">
        <f>Table2[[#This Row],[Quotas]]-Table2[[#This Row],[Open Quotas]]</f>
        <v>0</v>
      </c>
      <c r="W278" s="414">
        <v>0</v>
      </c>
      <c r="X278" s="419">
        <v>0</v>
      </c>
      <c r="Y278" s="419">
        <v>0</v>
      </c>
      <c r="Z278" s="414">
        <v>0</v>
      </c>
      <c r="AA278" s="414">
        <v>0</v>
      </c>
      <c r="AB278" s="414">
        <v>0</v>
      </c>
      <c r="AC278" s="414" t="s">
        <v>285</v>
      </c>
      <c r="AD278" s="419">
        <f ca="1">Table2[[#This Row],[End Date]]+2-TODAY()</f>
        <v>3</v>
      </c>
      <c r="AE278" s="414">
        <f>IF(ISBLANK(Table2[[#This Row],[Received by]]),1,0)</f>
        <v>0</v>
      </c>
      <c r="AF278" s="414">
        <f ca="1">IF(Table2[[#This Row],[Start Date]]&gt;TODAY(),1,)</f>
        <v>1</v>
      </c>
      <c r="AG278" s="414">
        <f>IF(ISBLANK(Table2[[#This Row],[Primary Instructor]]),0,1)</f>
        <v>0</v>
      </c>
      <c r="AH278" s="414">
        <f>IF(ISBLANK(Table2[[#This Row],[Instructor 2]]),0,1)</f>
        <v>0</v>
      </c>
      <c r="AI278" s="414" t="e">
        <f>Table2[[#This Row],[Course Length (Hours)]]/(SUM(Table2[[#This Row],[1]:[2]]))</f>
        <v>#DIV/0!</v>
      </c>
      <c r="AJ278" s="414"/>
      <c r="AK278" s="414"/>
    </row>
    <row r="279" spans="1:37" s="408" customFormat="1" x14ac:dyDescent="0.25">
      <c r="A279" s="425" t="s">
        <v>472</v>
      </c>
      <c r="B279" s="426" t="s">
        <v>28</v>
      </c>
      <c r="C279" s="427" t="str">
        <f>VLOOKUP(Table2[[#This Row],[Course Title]],'TSD-Data'!$A$1:$E$56,2,FALSE)</f>
        <v>A-493-0013</v>
      </c>
      <c r="D279" s="427">
        <f>VLOOKUP(Table2[[#This Row],[Course Title]],'TSD-Data'!$A$1:$E$56,3,FALSE)</f>
        <v>3683</v>
      </c>
      <c r="E279" s="426" t="s">
        <v>216</v>
      </c>
      <c r="F279" s="418">
        <v>45778</v>
      </c>
      <c r="G279" s="418">
        <v>45782</v>
      </c>
      <c r="H279" s="417">
        <v>0.33333333333333331</v>
      </c>
      <c r="I279" s="443"/>
      <c r="J279" s="443"/>
      <c r="K279" s="443"/>
      <c r="L279" s="443"/>
      <c r="M279" s="443"/>
      <c r="N279" s="443"/>
      <c r="O279" s="437" t="s">
        <v>257</v>
      </c>
      <c r="P279" s="429"/>
      <c r="Q279" s="365"/>
      <c r="R279" s="414">
        <f>VLOOKUP(Table2[[#This Row],[Course Title]],'TSD-Data'!$A$1:$E$56,4,FALSE)</f>
        <v>40</v>
      </c>
      <c r="S279" s="414">
        <f>VLOOKUP(Table2[[#This Row],[Course Title]],'TSD-Data'!$A$1:$F$53,6,FALSE)</f>
        <v>24</v>
      </c>
      <c r="T279" s="414">
        <f>VLOOKUP(Table2[[#This Row],[Course Title]],'TSD-Data'!$A$1:$E$56,5,FALSE)</f>
        <v>3</v>
      </c>
      <c r="U279" s="414">
        <v>30</v>
      </c>
      <c r="V279" s="414">
        <f>Table2[[#This Row],[Quotas]]-Table2[[#This Row],[Open Quotas]]</f>
        <v>5</v>
      </c>
      <c r="W279" s="414">
        <v>0</v>
      </c>
      <c r="X279" s="414"/>
      <c r="Y279" s="419"/>
      <c r="Z279" s="414"/>
      <c r="AA279" s="414"/>
      <c r="AB279" s="427"/>
      <c r="AC279" s="414"/>
      <c r="AD279" s="419">
        <f ca="1">Table2[[#This Row],[End Date]]+2-TODAY()</f>
        <v>7</v>
      </c>
      <c r="AE279" s="414">
        <f>IF(ISBLANK(Table2[[#This Row],[Received by]]),1,0)</f>
        <v>1</v>
      </c>
      <c r="AF279" s="414">
        <f ca="1">IF(Table2[[#This Row],[Start Date]]&gt;TODAY(),1,)</f>
        <v>1</v>
      </c>
      <c r="AG279" s="414">
        <f>IF(ISBLANK(Table2[[#This Row],[Primary Instructor]]),0,1)</f>
        <v>1</v>
      </c>
      <c r="AH279" s="414">
        <f>IF(ISBLANK(Table2[[#This Row],[Instructor 2]]),0,1)</f>
        <v>0</v>
      </c>
      <c r="AI279" s="414">
        <f>Table2[[#This Row],[Course Length (Hours)]]/(SUM(Table2[[#This Row],[1]:[2]]))</f>
        <v>24</v>
      </c>
      <c r="AJ279" s="414">
        <v>35</v>
      </c>
      <c r="AK279" s="414">
        <v>3</v>
      </c>
    </row>
    <row r="280" spans="1:37" s="408" customFormat="1" x14ac:dyDescent="0.25">
      <c r="A280" s="437"/>
      <c r="B280" s="426" t="s">
        <v>34</v>
      </c>
      <c r="C280" s="438" t="str">
        <f>VLOOKUP(Table2[[#This Row],[Course Title]],'TSD-Data'!$A$1:$E$56,2,FALSE)</f>
        <v>A-493-0216</v>
      </c>
      <c r="D280" s="438" t="str">
        <f>VLOOKUP(Table2[[#This Row],[Course Title]],'TSD-Data'!$A$1:$E$56,3,FALSE)</f>
        <v>12X8</v>
      </c>
      <c r="E280" s="426" t="s">
        <v>213</v>
      </c>
      <c r="F280" s="418">
        <v>45778</v>
      </c>
      <c r="G280" s="418">
        <v>45778</v>
      </c>
      <c r="H280" s="417">
        <v>0.33333333333333331</v>
      </c>
      <c r="I280" s="417"/>
      <c r="J280" s="417"/>
      <c r="K280" s="417"/>
      <c r="L280" s="417"/>
      <c r="M280" s="417"/>
      <c r="N280" s="417"/>
      <c r="O280" s="437" t="s">
        <v>280</v>
      </c>
      <c r="P280" s="437"/>
      <c r="Q280" s="365"/>
      <c r="R280" s="439">
        <f>VLOOKUP(Table2[[#This Row],[Course Title]],'TSD-Data'!$A$1:$E$56,4,FALSE)</f>
        <v>30</v>
      </c>
      <c r="S280" s="439">
        <f>VLOOKUP(Table2[[#This Row],[Course Title]],'TSD-Data'!$A$1:$F$53,6,FALSE)</f>
        <v>8</v>
      </c>
      <c r="T280" s="439">
        <f>VLOOKUP(Table2[[#This Row],[Course Title]],'TSD-Data'!$A$1:$E$56,5,FALSE)</f>
        <v>1</v>
      </c>
      <c r="U280" s="439">
        <v>33</v>
      </c>
      <c r="V280" s="439">
        <f>Table2[[#This Row],[Quotas]]-Table2[[#This Row],[Open Quotas]]</f>
        <v>30</v>
      </c>
      <c r="W280" s="439">
        <v>0</v>
      </c>
      <c r="X280" s="439"/>
      <c r="Y280" s="440"/>
      <c r="Z280" s="439"/>
      <c r="AA280" s="439"/>
      <c r="AB280" s="439"/>
      <c r="AC280" s="439"/>
      <c r="AD280" s="440">
        <f ca="1">Table2[[#This Row],[End Date]]+2-TODAY()</f>
        <v>3</v>
      </c>
      <c r="AE280" s="439">
        <f>IF(ISBLANK(Table2[[#This Row],[Received by]]),1,0)</f>
        <v>1</v>
      </c>
      <c r="AF280" s="439">
        <f ca="1">IF(Table2[[#This Row],[Start Date]]&gt;TODAY(),1,)</f>
        <v>1</v>
      </c>
      <c r="AG280" s="439">
        <f>IF(ISBLANK(Table2[[#This Row],[Primary Instructor]]),0,1)</f>
        <v>1</v>
      </c>
      <c r="AH280" s="439">
        <f>IF(ISBLANK(Table2[[#This Row],[Instructor 2]]),0,1)</f>
        <v>0</v>
      </c>
      <c r="AI280" s="439">
        <f>Table2[[#This Row],[Course Length (Hours)]]/(SUM(Table2[[#This Row],[1]:[2]]))</f>
        <v>8</v>
      </c>
      <c r="AJ280" s="439">
        <v>0</v>
      </c>
      <c r="AK280" s="439">
        <v>3</v>
      </c>
    </row>
    <row r="281" spans="1:37" s="408" customFormat="1" x14ac:dyDescent="0.25">
      <c r="A281" s="454"/>
      <c r="B281" s="426" t="s">
        <v>35</v>
      </c>
      <c r="C281" s="438" t="str">
        <f>VLOOKUP(Table2[[#This Row],[Course Title]],'TSD-Data'!$A$1:$E$56,2,FALSE)</f>
        <v>A-493-2501</v>
      </c>
      <c r="D281" s="438" t="str">
        <f>VLOOKUP(Table2[[#This Row],[Course Title]],'TSD-Data'!$A$1:$E$56,3,FALSE)</f>
        <v>05ZE</v>
      </c>
      <c r="E281" s="426" t="s">
        <v>213</v>
      </c>
      <c r="F281" s="418">
        <v>45779</v>
      </c>
      <c r="G281" s="418">
        <v>45779</v>
      </c>
      <c r="H281" s="417">
        <v>0.33333333333333331</v>
      </c>
      <c r="I281" s="417"/>
      <c r="J281" s="417"/>
      <c r="K281" s="417"/>
      <c r="L281" s="417"/>
      <c r="M281" s="417"/>
      <c r="N281" s="417"/>
      <c r="O281" s="437" t="s">
        <v>280</v>
      </c>
      <c r="P281" s="437"/>
      <c r="Q281" s="365"/>
      <c r="R281" s="439">
        <f>VLOOKUP(Table2[[#This Row],[Course Title]],'TSD-Data'!$A$1:$E$56,4,FALSE)</f>
        <v>30</v>
      </c>
      <c r="S281" s="439">
        <f>VLOOKUP(Table2[[#This Row],[Course Title]],'TSD-Data'!$A$1:$F$53,6,FALSE)</f>
        <v>8</v>
      </c>
      <c r="T281" s="439">
        <f>VLOOKUP(Table2[[#This Row],[Course Title]],'TSD-Data'!$A$1:$E$56,5,FALSE)</f>
        <v>1</v>
      </c>
      <c r="U281" s="439">
        <v>21</v>
      </c>
      <c r="V281" s="439">
        <f>Table2[[#This Row],[Quotas]]-Table2[[#This Row],[Open Quotas]]</f>
        <v>30</v>
      </c>
      <c r="W281" s="439">
        <v>0</v>
      </c>
      <c r="X281" s="440"/>
      <c r="Y281" s="440"/>
      <c r="Z281" s="439"/>
      <c r="AA281" s="439"/>
      <c r="AB281" s="439"/>
      <c r="AC281" s="439"/>
      <c r="AD281" s="440">
        <f ca="1">Table2[[#This Row],[End Date]]+2-TODAY()</f>
        <v>4</v>
      </c>
      <c r="AE281" s="439">
        <f>IF(ISBLANK(Table2[[#This Row],[Received by]]),1,0)</f>
        <v>1</v>
      </c>
      <c r="AF281" s="439">
        <f ca="1">IF(Table2[[#This Row],[Start Date]]&gt;TODAY(),1,)</f>
        <v>1</v>
      </c>
      <c r="AG281" s="439">
        <f>IF(ISBLANK(Table2[[#This Row],[Primary Instructor]]),0,1)</f>
        <v>1</v>
      </c>
      <c r="AH281" s="439">
        <f>IF(ISBLANK(Table2[[#This Row],[Instructor 2]]),0,1)</f>
        <v>0</v>
      </c>
      <c r="AI281" s="439">
        <f>Table2[[#This Row],[Course Length (Hours)]]/(SUM(Table2[[#This Row],[1]:[2]]))</f>
        <v>8</v>
      </c>
      <c r="AJ281" s="439">
        <v>0</v>
      </c>
      <c r="AK281" s="439">
        <v>3</v>
      </c>
    </row>
    <row r="282" spans="1:37" s="408" customFormat="1" x14ac:dyDescent="0.25">
      <c r="A282" s="437"/>
      <c r="B282" s="426" t="s">
        <v>55</v>
      </c>
      <c r="C282" s="427" t="str">
        <f>VLOOKUP(Table2[[#This Row],[Course Title]],'TSD-Data'!$A$1:$E$56,2,FALSE)</f>
        <v>A-493-0103</v>
      </c>
      <c r="D282" s="427" t="str">
        <f>VLOOKUP(Table2[[#This Row],[Course Title]],'TSD-Data'!$A$1:$E$56,3,FALSE)</f>
        <v>12JY</v>
      </c>
      <c r="E282" s="448" t="s">
        <v>219</v>
      </c>
      <c r="F282" s="452">
        <v>45782</v>
      </c>
      <c r="G282" s="418">
        <v>45786</v>
      </c>
      <c r="H282" s="417">
        <v>0.33333333333333331</v>
      </c>
      <c r="I282" s="417"/>
      <c r="J282" s="420"/>
      <c r="K282" s="418"/>
      <c r="L282" s="418"/>
      <c r="M282" s="420"/>
      <c r="N282" s="418"/>
      <c r="O282" s="437" t="s">
        <v>314</v>
      </c>
      <c r="P282" s="437"/>
      <c r="Q282" s="365"/>
      <c r="R282" s="414">
        <f>VLOOKUP(Table2[[#This Row],[Course Title]],'TSD-Data'!$A$1:$E$56,4,FALSE)</f>
        <v>25</v>
      </c>
      <c r="S282" s="414">
        <f>VLOOKUP(Table2[[#This Row],[Course Title]],'TSD-Data'!$A$1:$F$53,6,FALSE)</f>
        <v>40</v>
      </c>
      <c r="T282" s="414">
        <f>VLOOKUP(Table2[[#This Row],[Course Title]],'TSD-Data'!$A$1:$E$56,5,FALSE)</f>
        <v>5</v>
      </c>
      <c r="U282" s="439">
        <v>48</v>
      </c>
      <c r="V282" s="414">
        <f>Table2[[#This Row],[Quotas]]-Table2[[#This Row],[Open Quotas]]</f>
        <v>11</v>
      </c>
      <c r="W282" s="439">
        <v>0</v>
      </c>
      <c r="X282" s="439"/>
      <c r="Y282" s="440"/>
      <c r="Z282" s="439"/>
      <c r="AA282" s="439"/>
      <c r="AB282" s="439"/>
      <c r="AC282" s="439"/>
      <c r="AD282" s="440">
        <f ca="1">Table2[[#This Row],[End Date]]+2-TODAY()</f>
        <v>11</v>
      </c>
      <c r="AE282" s="439">
        <f>IF(ISBLANK(Table2[[#This Row],[Received by]]),1,0)</f>
        <v>1</v>
      </c>
      <c r="AF282" s="439">
        <f ca="1">IF(Table2[[#This Row],[Start Date]]&gt;TODAY(),1,)</f>
        <v>1</v>
      </c>
      <c r="AG282" s="439">
        <f>IF(ISBLANK(Table2[[#This Row],[Primary Instructor]]),0,1)</f>
        <v>1</v>
      </c>
      <c r="AH282" s="439">
        <f>IF(ISBLANK(Table2[[#This Row],[Instructor 2]]),0,1)</f>
        <v>0</v>
      </c>
      <c r="AI282" s="439">
        <f>Table2[[#This Row],[Course Length (Hours)]]/(SUM(Table2[[#This Row],[1]:[2]]))</f>
        <v>40</v>
      </c>
      <c r="AJ282" s="439">
        <v>14</v>
      </c>
      <c r="AK282" s="439">
        <v>3</v>
      </c>
    </row>
    <row r="283" spans="1:37" s="408" customFormat="1" x14ac:dyDescent="0.25">
      <c r="A283" s="425"/>
      <c r="B283" s="426" t="s">
        <v>47</v>
      </c>
      <c r="C283" s="427" t="str">
        <f>VLOOKUP(Table2[[#This Row],[Course Title]],'TSD-Data'!$A$1:$E$56,2,FALSE)</f>
        <v>A-493-0030</v>
      </c>
      <c r="D283" s="427" t="str">
        <f>VLOOKUP(Table2[[#This Row],[Course Title]],'TSD-Data'!$A$1:$E$56,3,FALSE)</f>
        <v>286X</v>
      </c>
      <c r="E283" s="426" t="s">
        <v>86</v>
      </c>
      <c r="F283" s="428">
        <v>45782</v>
      </c>
      <c r="G283" s="428">
        <v>45786</v>
      </c>
      <c r="H283" s="422"/>
      <c r="I283" s="422">
        <v>0.33333333333333331</v>
      </c>
      <c r="J283" s="422">
        <v>0.20833333333333334</v>
      </c>
      <c r="K283" s="422">
        <v>0.625</v>
      </c>
      <c r="L283" s="422">
        <v>0.54166666666666663</v>
      </c>
      <c r="M283" s="422">
        <v>8.3333333333333329E-2</v>
      </c>
      <c r="N283" s="417">
        <v>0.875</v>
      </c>
      <c r="O283" s="429" t="s">
        <v>322</v>
      </c>
      <c r="P283" s="429"/>
      <c r="Q283" s="365"/>
      <c r="R283" s="419">
        <f>VLOOKUP(Table2[[#This Row],[Course Title]],'TSD-Data'!$A$1:$E$56,4,FALSE)</f>
        <v>25</v>
      </c>
      <c r="S283" s="414">
        <f>VLOOKUP(Table2[[#This Row],[Course Title]],'TSD-Data'!$A$1:$F$53,6,FALSE)</f>
        <v>40</v>
      </c>
      <c r="T283" s="414">
        <f>VLOOKUP(Table2[[#This Row],[Course Title]],'TSD-Data'!$A$1:$E$56,5,FALSE)</f>
        <v>5</v>
      </c>
      <c r="U283" s="414">
        <v>0</v>
      </c>
      <c r="V283" s="414">
        <f>Table2[[#This Row],[Quotas]]-Table2[[#This Row],[Open Quotas]]</f>
        <v>25</v>
      </c>
      <c r="W283" s="414">
        <v>5</v>
      </c>
      <c r="X283" s="419"/>
      <c r="Y283" s="419"/>
      <c r="Z283" s="414"/>
      <c r="AA283" s="414"/>
      <c r="AB283" s="427"/>
      <c r="AC283" s="414"/>
      <c r="AD283" s="419">
        <f ca="1">Table2[[#This Row],[End Date]]+2-TODAY()</f>
        <v>11</v>
      </c>
      <c r="AE283" s="414">
        <f>IF(ISBLANK(Table2[[#This Row],[Received by]]),1,0)</f>
        <v>1</v>
      </c>
      <c r="AF283" s="414">
        <f ca="1">IF(Table2[[#This Row],[Start Date]]&gt;TODAY(),1,)</f>
        <v>1</v>
      </c>
      <c r="AG283" s="414">
        <f>IF(ISBLANK(Table2[[#This Row],[Primary Instructor]]),0,1)</f>
        <v>1</v>
      </c>
      <c r="AH283" s="414">
        <f>IF(ISBLANK(Table2[[#This Row],[Instructor 2]]),0,1)</f>
        <v>0</v>
      </c>
      <c r="AI283" s="414">
        <f>Table2[[#This Row],[Course Length (Hours)]]/(SUM(Table2[[#This Row],[1]:[2]]))</f>
        <v>40</v>
      </c>
      <c r="AJ283" s="414">
        <v>0</v>
      </c>
      <c r="AK283" s="414">
        <v>3</v>
      </c>
    </row>
    <row r="284" spans="1:37" s="408" customFormat="1" x14ac:dyDescent="0.25">
      <c r="A284" s="429"/>
      <c r="B284" s="426" t="s">
        <v>38</v>
      </c>
      <c r="C284" s="427" t="str">
        <f>VLOOKUP(Table2[[#This Row],[Course Title]],'TSD-Data'!$A$1:$E$56,2,FALSE)</f>
        <v>A-493-0061</v>
      </c>
      <c r="D284" s="427" t="str">
        <f>VLOOKUP(Table2[[#This Row],[Course Title]],'TSD-Data'!$A$1:$E$56,3,FALSE)</f>
        <v>288E</v>
      </c>
      <c r="E284" s="433" t="s">
        <v>86</v>
      </c>
      <c r="F284" s="428">
        <v>45782</v>
      </c>
      <c r="G284" s="428">
        <v>45785</v>
      </c>
      <c r="H284" s="422"/>
      <c r="I284" s="422">
        <v>0.41666666666666669</v>
      </c>
      <c r="J284" s="421">
        <v>0.29166666666666669</v>
      </c>
      <c r="K284" s="421">
        <v>0.70833333333333337</v>
      </c>
      <c r="L284" s="421">
        <v>0.66666666666666663</v>
      </c>
      <c r="M284" s="421">
        <v>0.16666666666666666</v>
      </c>
      <c r="N284" s="421">
        <v>0.95833333333333337</v>
      </c>
      <c r="O284" s="429" t="s">
        <v>303</v>
      </c>
      <c r="P284" s="429"/>
      <c r="Q284" s="365"/>
      <c r="R284" s="414">
        <f>VLOOKUP(Table2[[#This Row],[Course Title]],'TSD-Data'!$A$1:$E$56,4,FALSE)</f>
        <v>45</v>
      </c>
      <c r="S284" s="414">
        <f>VLOOKUP(Table2[[#This Row],[Course Title]],'TSD-Data'!$A$1:$F$53,6,FALSE)</f>
        <v>30</v>
      </c>
      <c r="T284" s="414">
        <f>VLOOKUP(Table2[[#This Row],[Course Title]],'TSD-Data'!$A$1:$E$56,5,FALSE)</f>
        <v>4</v>
      </c>
      <c r="U284" s="414">
        <v>533</v>
      </c>
      <c r="V284" s="414">
        <f>Table2[[#This Row],[Quotas]]-Table2[[#This Row],[Open Quotas]]</f>
        <v>39</v>
      </c>
      <c r="W284" s="414">
        <v>0</v>
      </c>
      <c r="X284" s="414"/>
      <c r="Y284" s="419"/>
      <c r="Z284" s="414"/>
      <c r="AA284" s="414"/>
      <c r="AB284" s="414"/>
      <c r="AC284" s="414"/>
      <c r="AD284" s="419">
        <f ca="1">Table2[[#This Row],[End Date]]+2-TODAY()</f>
        <v>10</v>
      </c>
      <c r="AE284" s="414">
        <f>IF(ISBLANK(Table2[[#This Row],[Received by]]),1,0)</f>
        <v>1</v>
      </c>
      <c r="AF284" s="414">
        <f ca="1">IF(Table2[[#This Row],[Start Date]]&gt;TODAY(),1,)</f>
        <v>1</v>
      </c>
      <c r="AG284" s="414">
        <f>IF(ISBLANK(Table2[[#This Row],[Primary Instructor]]),0,1)</f>
        <v>1</v>
      </c>
      <c r="AH284" s="414">
        <f>IF(ISBLANK(Table2[[#This Row],[Instructor 2]]),0,1)</f>
        <v>0</v>
      </c>
      <c r="AI284" s="414">
        <f>Table2[[#This Row],[Course Length (Hours)]]/(SUM(Table2[[#This Row],[1]:[2]]))</f>
        <v>30</v>
      </c>
      <c r="AJ284" s="414">
        <v>6</v>
      </c>
      <c r="AK284" s="414">
        <v>3</v>
      </c>
    </row>
    <row r="285" spans="1:37" s="408" customFormat="1" x14ac:dyDescent="0.25">
      <c r="A285" s="429"/>
      <c r="B285" s="426" t="s">
        <v>120</v>
      </c>
      <c r="C285" s="427" t="str">
        <f>VLOOKUP(Table2[[#This Row],[Course Title]],'TSD-Data'!$A$1:$E$56,2,FALSE)</f>
        <v>A-322-2604</v>
      </c>
      <c r="D285" s="427" t="str">
        <f>VLOOKUP(Table2[[#This Row],[Course Title]],'TSD-Data'!$A$1:$E$56,3,FALSE)</f>
        <v>10ZZ</v>
      </c>
      <c r="E285" s="433" t="s">
        <v>86</v>
      </c>
      <c r="F285" s="428">
        <v>45782</v>
      </c>
      <c r="G285" s="428">
        <v>45784</v>
      </c>
      <c r="H285" s="422"/>
      <c r="I285" s="422">
        <v>0.33333333333333331</v>
      </c>
      <c r="J285" s="422">
        <v>0.20833333333333334</v>
      </c>
      <c r="K285" s="422">
        <v>0.625</v>
      </c>
      <c r="L285" s="422">
        <v>0.54166666666666663</v>
      </c>
      <c r="M285" s="422">
        <v>8.3333333333333329E-2</v>
      </c>
      <c r="N285" s="422">
        <v>0.875</v>
      </c>
      <c r="O285" s="389" t="s">
        <v>288</v>
      </c>
      <c r="P285" s="429"/>
      <c r="Q285" s="365"/>
      <c r="R285" s="414">
        <f>VLOOKUP(Table2[[#This Row],[Course Title]],'TSD-Data'!$A$1:$E$56,4,FALSE)</f>
        <v>45</v>
      </c>
      <c r="S285" s="414">
        <f>VLOOKUP(Table2[[#This Row],[Course Title]],'TSD-Data'!$A$1:$F$53,6,FALSE)</f>
        <v>24</v>
      </c>
      <c r="T285" s="414">
        <f>VLOOKUP(Table2[[#This Row],[Course Title]],'TSD-Data'!$A$1:$E$56,5,FALSE)</f>
        <v>3</v>
      </c>
      <c r="U285" s="414">
        <v>634</v>
      </c>
      <c r="V285" s="414">
        <f>Table2[[#This Row],[Quotas]]-Table2[[#This Row],[Open Quotas]]</f>
        <v>45</v>
      </c>
      <c r="W285" s="414">
        <v>4</v>
      </c>
      <c r="X285" s="414"/>
      <c r="Y285" s="419"/>
      <c r="Z285" s="414"/>
      <c r="AA285" s="414"/>
      <c r="AB285" s="427"/>
      <c r="AC285" s="414"/>
      <c r="AD285" s="419">
        <f ca="1">Table2[[#This Row],[End Date]]+2-TODAY()</f>
        <v>9</v>
      </c>
      <c r="AE285" s="414">
        <f>IF(ISBLANK(Table2[[#This Row],[Received by]]),1,0)</f>
        <v>1</v>
      </c>
      <c r="AF285" s="414">
        <f ca="1">IF(Table2[[#This Row],[Start Date]]&gt;TODAY(),1,)</f>
        <v>1</v>
      </c>
      <c r="AG285" s="414">
        <f>IF(ISBLANK(Table2[[#This Row],[Primary Instructor]]),0,1)</f>
        <v>1</v>
      </c>
      <c r="AH285" s="414">
        <f>IF(ISBLANK(Table2[[#This Row],[Instructor 2]]),0,1)</f>
        <v>0</v>
      </c>
      <c r="AI285" s="414">
        <f>Table2[[#This Row],[Course Length (Hours)]]/(SUM(Table2[[#This Row],[1]:[2]]))</f>
        <v>24</v>
      </c>
      <c r="AJ285" s="414">
        <v>0</v>
      </c>
      <c r="AK285" s="414">
        <v>3</v>
      </c>
    </row>
    <row r="286" spans="1:37" s="408" customFormat="1" x14ac:dyDescent="0.25">
      <c r="A286" s="429"/>
      <c r="B286" s="426" t="s">
        <v>29</v>
      </c>
      <c r="C286" s="427" t="str">
        <f>VLOOKUP(Table2[[#This Row],[Course Title]],'TSD-Data'!$A$1:$E$56,2,FALSE)</f>
        <v>A-493-0077</v>
      </c>
      <c r="D286" s="427" t="str">
        <f>VLOOKUP(Table2[[#This Row],[Course Title]],'TSD-Data'!$A$1:$E$56,3,FALSE)</f>
        <v>0381</v>
      </c>
      <c r="E286" s="433" t="s">
        <v>174</v>
      </c>
      <c r="F286" s="428">
        <v>45782</v>
      </c>
      <c r="G286" s="428">
        <v>45784</v>
      </c>
      <c r="H286" s="422">
        <v>0.33333333333333331</v>
      </c>
      <c r="I286" s="422"/>
      <c r="J286" s="422"/>
      <c r="K286" s="422"/>
      <c r="L286" s="422"/>
      <c r="M286" s="422"/>
      <c r="N286" s="422"/>
      <c r="O286" s="429" t="s">
        <v>280</v>
      </c>
      <c r="P286" s="429"/>
      <c r="Q286" s="365"/>
      <c r="R286" s="414">
        <f>VLOOKUP(Table2[[#This Row],[Course Title]],'TSD-Data'!$A$1:$E$56,4,FALSE)</f>
        <v>25</v>
      </c>
      <c r="S286" s="414">
        <f>VLOOKUP(Table2[[#This Row],[Course Title]],'TSD-Data'!$A$1:$F$53,6,FALSE)</f>
        <v>24</v>
      </c>
      <c r="T286" s="414">
        <f>VLOOKUP(Table2[[#This Row],[Course Title]],'TSD-Data'!$A$1:$E$56,5,FALSE)</f>
        <v>3</v>
      </c>
      <c r="U286" s="414">
        <v>14</v>
      </c>
      <c r="V286" s="414">
        <f>Table2[[#This Row],[Quotas]]-Table2[[#This Row],[Open Quotas]]</f>
        <v>12</v>
      </c>
      <c r="W286" s="414"/>
      <c r="X286" s="414"/>
      <c r="Y286" s="419"/>
      <c r="Z286" s="414"/>
      <c r="AA286" s="414"/>
      <c r="AB286" s="414"/>
      <c r="AC286" s="414"/>
      <c r="AD286" s="419">
        <f ca="1">Table2[[#This Row],[End Date]]+2-TODAY()</f>
        <v>9</v>
      </c>
      <c r="AE286" s="414">
        <f>IF(ISBLANK(Table2[[#This Row],[Received by]]),1,0)</f>
        <v>1</v>
      </c>
      <c r="AF286" s="414">
        <f ca="1">IF(Table2[[#This Row],[Start Date]]&gt;TODAY(),1,)</f>
        <v>1</v>
      </c>
      <c r="AG286" s="414">
        <f>IF(ISBLANK(Table2[[#This Row],[Primary Instructor]]),0,1)</f>
        <v>1</v>
      </c>
      <c r="AH286" s="414">
        <f>IF(ISBLANK(Table2[[#This Row],[Instructor 2]]),0,1)</f>
        <v>0</v>
      </c>
      <c r="AI286" s="414">
        <f>Table2[[#This Row],[Course Length (Hours)]]/(SUM(Table2[[#This Row],[1]:[2]]))</f>
        <v>24</v>
      </c>
      <c r="AJ286" s="414">
        <v>13</v>
      </c>
      <c r="AK286" s="414">
        <v>3</v>
      </c>
    </row>
    <row r="287" spans="1:37" s="408" customFormat="1" x14ac:dyDescent="0.25">
      <c r="A287" s="437"/>
      <c r="B287" s="426" t="s">
        <v>49</v>
      </c>
      <c r="C287" s="438" t="str">
        <f>VLOOKUP(Table2[[#This Row],[Course Title]],'TSD-Data'!$A$1:$E$56,2,FALSE)</f>
        <v>A-493-0092</v>
      </c>
      <c r="D287" s="438">
        <f>VLOOKUP(Table2[[#This Row],[Course Title]],'TSD-Data'!$A$1:$E$56,3,FALSE)</f>
        <v>5891</v>
      </c>
      <c r="E287" s="426" t="s">
        <v>198</v>
      </c>
      <c r="F287" s="428">
        <v>45782</v>
      </c>
      <c r="G287" s="428">
        <v>45784</v>
      </c>
      <c r="H287" s="417">
        <v>0.33333333333333331</v>
      </c>
      <c r="I287" s="417"/>
      <c r="J287" s="418"/>
      <c r="K287" s="418"/>
      <c r="L287" s="418"/>
      <c r="M287" s="418"/>
      <c r="N287" s="418"/>
      <c r="O287" s="437" t="s">
        <v>274</v>
      </c>
      <c r="P287" s="437" t="s">
        <v>278</v>
      </c>
      <c r="Q287" s="365"/>
      <c r="R287" s="439">
        <f>VLOOKUP(Table2[[#This Row],[Course Title]],'TSD-Data'!$A$1:$E$56,4,FALSE)</f>
        <v>25</v>
      </c>
      <c r="S287" s="439">
        <f>VLOOKUP(Table2[[#This Row],[Course Title]],'TSD-Data'!$A$1:$F$53,6,FALSE)</f>
        <v>24</v>
      </c>
      <c r="T287" s="439">
        <f>VLOOKUP(Table2[[#This Row],[Course Title]],'TSD-Data'!$A$1:$E$56,5,FALSE)</f>
        <v>3</v>
      </c>
      <c r="U287" s="439">
        <v>72</v>
      </c>
      <c r="V287" s="439">
        <f>Table2[[#This Row],[Quotas]]-Table2[[#This Row],[Open Quotas]]</f>
        <v>7</v>
      </c>
      <c r="W287" s="439">
        <v>0</v>
      </c>
      <c r="X287" s="440"/>
      <c r="Y287" s="440"/>
      <c r="Z287" s="439"/>
      <c r="AA287" s="439"/>
      <c r="AB287" s="439"/>
      <c r="AC287" s="439"/>
      <c r="AD287" s="440">
        <f ca="1">Table2[[#This Row],[End Date]]+2-TODAY()</f>
        <v>9</v>
      </c>
      <c r="AE287" s="439">
        <f>IF(ISBLANK(Table2[[#This Row],[Received by]]),1,0)</f>
        <v>1</v>
      </c>
      <c r="AF287" s="439">
        <f ca="1">IF(Table2[[#This Row],[Start Date]]&gt;TODAY(),1,)</f>
        <v>1</v>
      </c>
      <c r="AG287" s="439">
        <f>IF(ISBLANK(Table2[[#This Row],[Primary Instructor]]),0,1)</f>
        <v>1</v>
      </c>
      <c r="AH287" s="439">
        <f>IF(ISBLANK(Table2[[#This Row],[Instructor 2]]),0,1)</f>
        <v>1</v>
      </c>
      <c r="AI287" s="439">
        <f>Table2[[#This Row],[Course Length (Hours)]]/(SUM(Table2[[#This Row],[1]:[2]]))</f>
        <v>12</v>
      </c>
      <c r="AJ287" s="439">
        <v>18</v>
      </c>
      <c r="AK287" s="439">
        <v>3</v>
      </c>
    </row>
    <row r="288" spans="1:37" s="408" customFormat="1" x14ac:dyDescent="0.25">
      <c r="A288" s="433"/>
      <c r="B288" s="426" t="s">
        <v>61</v>
      </c>
      <c r="C288" s="438" t="str">
        <f>VLOOKUP(Table2[[#This Row],[Course Title]],'TSD-Data'!$A$1:$E$56,2,FALSE)</f>
        <v>A-493-0078</v>
      </c>
      <c r="D288" s="438">
        <f>VLOOKUP(Table2[[#This Row],[Course Title]],'TSD-Data'!$A$1:$E$56,3,FALSE)</f>
        <v>1228</v>
      </c>
      <c r="E288" s="426" t="s">
        <v>86</v>
      </c>
      <c r="F288" s="428">
        <v>45782</v>
      </c>
      <c r="G288" s="428">
        <v>45785</v>
      </c>
      <c r="H288" s="417"/>
      <c r="I288" s="417">
        <v>0.33333333333333331</v>
      </c>
      <c r="J288" s="417">
        <v>0.20833333333333334</v>
      </c>
      <c r="K288" s="417">
        <v>0.625</v>
      </c>
      <c r="L288" s="417">
        <v>0.54166666666666663</v>
      </c>
      <c r="M288" s="417">
        <v>8.3333333333333329E-2</v>
      </c>
      <c r="N288" s="417">
        <v>0.875</v>
      </c>
      <c r="O288" s="437" t="s">
        <v>304</v>
      </c>
      <c r="P288" s="437"/>
      <c r="Q288" s="365"/>
      <c r="R288" s="439">
        <f>VLOOKUP(Table2[[#This Row],[Course Title]],'TSD-Data'!$A$1:$E$56,4,FALSE)</f>
        <v>45</v>
      </c>
      <c r="S288" s="439">
        <f>VLOOKUP(Table2[[#This Row],[Course Title]],'TSD-Data'!$A$1:$F$53,6,FALSE)</f>
        <v>32</v>
      </c>
      <c r="T288" s="439">
        <f>VLOOKUP(Table2[[#This Row],[Course Title]],'TSD-Data'!$A$1:$E$56,5,FALSE)</f>
        <v>4</v>
      </c>
      <c r="U288" s="439">
        <v>508</v>
      </c>
      <c r="V288" s="439">
        <f>Table2[[#This Row],[Quotas]]-Table2[[#This Row],[Open Quotas]]</f>
        <v>21</v>
      </c>
      <c r="W288" s="439">
        <v>0</v>
      </c>
      <c r="X288" s="439"/>
      <c r="Y288" s="440"/>
      <c r="Z288" s="439"/>
      <c r="AA288" s="439"/>
      <c r="AB288" s="439"/>
      <c r="AC288" s="439"/>
      <c r="AD288" s="440">
        <f ca="1">Table2[[#This Row],[End Date]]+2-TODAY()</f>
        <v>10</v>
      </c>
      <c r="AE288" s="439">
        <f>IF(ISBLANK(Table2[[#This Row],[Received by]]),1,0)</f>
        <v>1</v>
      </c>
      <c r="AF288" s="439">
        <f ca="1">IF(Table2[[#This Row],[Start Date]]&gt;TODAY(),1,)</f>
        <v>1</v>
      </c>
      <c r="AG288" s="439">
        <f>IF(ISBLANK(Table2[[#This Row],[Primary Instructor]]),0,1)</f>
        <v>1</v>
      </c>
      <c r="AH288" s="439">
        <f>IF(ISBLANK(Table2[[#This Row],[Instructor 2]]),0,1)</f>
        <v>0</v>
      </c>
      <c r="AI288" s="439">
        <f>Table2[[#This Row],[Course Length (Hours)]]/(SUM(Table2[[#This Row],[1]:[2]]))</f>
        <v>32</v>
      </c>
      <c r="AJ288" s="439">
        <v>24</v>
      </c>
      <c r="AK288" s="439">
        <v>3</v>
      </c>
    </row>
    <row r="289" spans="1:37" s="408" customFormat="1" x14ac:dyDescent="0.25">
      <c r="A289" s="437"/>
      <c r="B289" s="426" t="s">
        <v>52</v>
      </c>
      <c r="C289" s="438" t="str">
        <f>VLOOKUP(Table2[[#This Row],[Course Title]],'TSD-Data'!$A$1:$E$56,2,FALSE)</f>
        <v>A-493-0085</v>
      </c>
      <c r="D289" s="438">
        <f>VLOOKUP(Table2[[#This Row],[Course Title]],'TSD-Data'!$A$1:$E$56,3,FALSE)</f>
        <v>3555</v>
      </c>
      <c r="E289" s="426" t="s">
        <v>86</v>
      </c>
      <c r="F289" s="428">
        <v>45782</v>
      </c>
      <c r="G289" s="428">
        <v>45785</v>
      </c>
      <c r="H289" s="418"/>
      <c r="I289" s="443">
        <v>0.5</v>
      </c>
      <c r="J289" s="443">
        <v>0.375</v>
      </c>
      <c r="K289" s="443">
        <v>0.79166666666666663</v>
      </c>
      <c r="L289" s="443">
        <v>0.75</v>
      </c>
      <c r="M289" s="443">
        <v>0.25</v>
      </c>
      <c r="N289" s="443">
        <v>4.1666666666666664E-2</v>
      </c>
      <c r="O289" s="437" t="s">
        <v>316</v>
      </c>
      <c r="P289" s="437"/>
      <c r="Q289" s="365"/>
      <c r="R289" s="439">
        <f>VLOOKUP(Table2[[#This Row],[Course Title]],'TSD-Data'!$A$1:$E$56,4,FALSE)</f>
        <v>45</v>
      </c>
      <c r="S289" s="439">
        <f>VLOOKUP(Table2[[#This Row],[Course Title]],'TSD-Data'!$A$1:$F$53,6,FALSE)</f>
        <v>32</v>
      </c>
      <c r="T289" s="439">
        <f>VLOOKUP(Table2[[#This Row],[Course Title]],'TSD-Data'!$A$1:$E$56,5,FALSE)</f>
        <v>4</v>
      </c>
      <c r="U289" s="439">
        <v>503</v>
      </c>
      <c r="V289" s="439">
        <f>Table2[[#This Row],[Quotas]]-Table2[[#This Row],[Open Quotas]]</f>
        <v>18</v>
      </c>
      <c r="W289" s="439">
        <v>0</v>
      </c>
      <c r="X289" s="439"/>
      <c r="Y289" s="440"/>
      <c r="Z289" s="439"/>
      <c r="AA289" s="439"/>
      <c r="AB289" s="439"/>
      <c r="AC289" s="439"/>
      <c r="AD289" s="440">
        <f ca="1">Table2[[#This Row],[End Date]]+2-TODAY()</f>
        <v>10</v>
      </c>
      <c r="AE289" s="439">
        <f>IF(ISBLANK(Table2[[#This Row],[Received by]]),1,0)</f>
        <v>1</v>
      </c>
      <c r="AF289" s="439">
        <f ca="1">IF(Table2[[#This Row],[Start Date]]&gt;TODAY(),1,)</f>
        <v>1</v>
      </c>
      <c r="AG289" s="439">
        <f>IF(ISBLANK(Table2[[#This Row],[Primary Instructor]]),0,1)</f>
        <v>1</v>
      </c>
      <c r="AH289" s="439">
        <f>IF(ISBLANK(Table2[[#This Row],[Instructor 2]]),0,1)</f>
        <v>0</v>
      </c>
      <c r="AI289" s="439">
        <f>Table2[[#This Row],[Course Length (Hours)]]/(SUM(Table2[[#This Row],[1]:[2]]))</f>
        <v>32</v>
      </c>
      <c r="AJ289" s="439">
        <v>27</v>
      </c>
      <c r="AK289" s="439">
        <v>3</v>
      </c>
    </row>
    <row r="290" spans="1:37" s="408" customFormat="1" x14ac:dyDescent="0.25">
      <c r="A290" s="438"/>
      <c r="B290" s="426" t="s">
        <v>39</v>
      </c>
      <c r="C290" s="438" t="str">
        <f>VLOOKUP(Table2[[#This Row],[Course Title]],'TSD-Data'!$A$1:$E$56,2,FALSE)</f>
        <v>A-570-0100</v>
      </c>
      <c r="D290" s="438" t="str">
        <f>VLOOKUP(Table2[[#This Row],[Course Title]],'TSD-Data'!$A$1:$E$56,3,FALSE)</f>
        <v>18B7</v>
      </c>
      <c r="E290" s="426" t="s">
        <v>86</v>
      </c>
      <c r="F290" s="428">
        <v>45782</v>
      </c>
      <c r="G290" s="428">
        <v>45783</v>
      </c>
      <c r="H290" s="417"/>
      <c r="I290" s="417">
        <v>0.79166666666666663</v>
      </c>
      <c r="J290" s="443">
        <v>0.66666666666666663</v>
      </c>
      <c r="K290" s="443">
        <v>8.3333333333333329E-2</v>
      </c>
      <c r="L290" s="443">
        <v>0</v>
      </c>
      <c r="M290" s="443">
        <v>0.54166666666666663</v>
      </c>
      <c r="N290" s="443">
        <v>0.33333333333333331</v>
      </c>
      <c r="O290" s="437" t="s">
        <v>272</v>
      </c>
      <c r="P290" s="437"/>
      <c r="Q290" s="365"/>
      <c r="R290" s="439">
        <f>VLOOKUP(Table2[[#This Row],[Course Title]],'TSD-Data'!$A$1:$E$56,4,FALSE)</f>
        <v>45</v>
      </c>
      <c r="S290" s="439">
        <f>VLOOKUP(Table2[[#This Row],[Course Title]],'TSD-Data'!$A$1:$F$53,6,FALSE)</f>
        <v>16</v>
      </c>
      <c r="T290" s="439">
        <f>VLOOKUP(Table2[[#This Row],[Course Title]],'TSD-Data'!$A$1:$E$56,5,FALSE)</f>
        <v>2</v>
      </c>
      <c r="U290" s="439">
        <v>132</v>
      </c>
      <c r="V290" s="439">
        <f>Table2[[#This Row],[Quotas]]-Table2[[#This Row],[Open Quotas]]</f>
        <v>29</v>
      </c>
      <c r="W290" s="439">
        <v>0</v>
      </c>
      <c r="X290" s="444"/>
      <c r="Y290" s="444"/>
      <c r="Z290" s="438"/>
      <c r="AA290" s="438"/>
      <c r="AB290" s="444"/>
      <c r="AC290" s="439"/>
      <c r="AD290" s="440">
        <f ca="1">Table2[[#This Row],[End Date]]+2-TODAY()</f>
        <v>8</v>
      </c>
      <c r="AE290" s="439">
        <f>IF(ISBLANK(Table2[[#This Row],[Received by]]),1,0)</f>
        <v>1</v>
      </c>
      <c r="AF290" s="439">
        <f ca="1">IF(Table2[[#This Row],[Start Date]]&gt;TODAY(),1,)</f>
        <v>1</v>
      </c>
      <c r="AG290" s="439">
        <f>IF(ISBLANK(Table2[[#This Row],[Primary Instructor]]),0,1)</f>
        <v>1</v>
      </c>
      <c r="AH290" s="439">
        <f>IF(ISBLANK(Table2[[#This Row],[Instructor 2]]),0,1)</f>
        <v>0</v>
      </c>
      <c r="AI290" s="439">
        <f>Table2[[#This Row],[Course Length (Hours)]]/(SUM(Table2[[#This Row],[1]:[2]]))</f>
        <v>16</v>
      </c>
      <c r="AJ290" s="439">
        <v>16</v>
      </c>
      <c r="AK290" s="439">
        <v>3</v>
      </c>
    </row>
    <row r="291" spans="1:37" s="408" customFormat="1" x14ac:dyDescent="0.25">
      <c r="A291" s="438"/>
      <c r="B291" s="426" t="s">
        <v>40</v>
      </c>
      <c r="C291" s="438" t="str">
        <f>VLOOKUP(Table2[[#This Row],[Course Title]],'TSD-Data'!$A$1:$E$56,2,FALSE)</f>
        <v>A-493-2098</v>
      </c>
      <c r="D291" s="438" t="str">
        <f>VLOOKUP(Table2[[#This Row],[Course Title]],'TSD-Data'!$A$1:$E$56,3,FALSE)</f>
        <v>09WW</v>
      </c>
      <c r="E291" s="433" t="s">
        <v>86</v>
      </c>
      <c r="F291" s="418">
        <v>45782</v>
      </c>
      <c r="G291" s="418">
        <v>45784</v>
      </c>
      <c r="H291" s="417"/>
      <c r="I291" s="443">
        <v>0.5</v>
      </c>
      <c r="J291" s="443">
        <v>0.375</v>
      </c>
      <c r="K291" s="443">
        <v>0.79166666666666663</v>
      </c>
      <c r="L291" s="443">
        <v>0.75</v>
      </c>
      <c r="M291" s="443">
        <v>0.25</v>
      </c>
      <c r="N291" s="443">
        <v>4.1666666666666664E-2</v>
      </c>
      <c r="O291" s="437" t="s">
        <v>282</v>
      </c>
      <c r="P291" s="437"/>
      <c r="Q291" s="365"/>
      <c r="R291" s="439">
        <f>VLOOKUP(Table2[[#This Row],[Course Title]],'TSD-Data'!$A$1:$E$56,4,FALSE)</f>
        <v>100</v>
      </c>
      <c r="S291" s="439">
        <f>VLOOKUP(Table2[[#This Row],[Course Title]],'TSD-Data'!$A$1:$F$53,6,FALSE)</f>
        <v>16</v>
      </c>
      <c r="T291" s="439">
        <f>VLOOKUP(Table2[[#This Row],[Course Title]],'TSD-Data'!$A$1:$E$56,5,FALSE)</f>
        <v>2</v>
      </c>
      <c r="U291" s="439">
        <v>722</v>
      </c>
      <c r="V291" s="439">
        <f>Table2[[#This Row],[Quotas]]-Table2[[#This Row],[Open Quotas]]</f>
        <v>100</v>
      </c>
      <c r="W291" s="439">
        <v>0</v>
      </c>
      <c r="X291" s="444"/>
      <c r="Y291" s="444"/>
      <c r="Z291" s="438"/>
      <c r="AA291" s="438"/>
      <c r="AB291" s="444"/>
      <c r="AC291" s="439"/>
      <c r="AD291" s="440">
        <f ca="1">Table2[[#This Row],[End Date]]+2-TODAY()</f>
        <v>9</v>
      </c>
      <c r="AE291" s="439">
        <f>IF(ISBLANK(Table2[[#This Row],[Received by]]),1,0)</f>
        <v>1</v>
      </c>
      <c r="AF291" s="439">
        <f ca="1">IF(Table2[[#This Row],[Start Date]]&gt;TODAY(),1,)</f>
        <v>1</v>
      </c>
      <c r="AG291" s="439">
        <f>IF(ISBLANK(Table2[[#This Row],[Primary Instructor]]),0,1)</f>
        <v>1</v>
      </c>
      <c r="AH291" s="439">
        <f>IF(ISBLANK(Table2[[#This Row],[Instructor 2]]),0,1)</f>
        <v>0</v>
      </c>
      <c r="AI291" s="439">
        <f>Table2[[#This Row],[Course Length (Hours)]]/(SUM(Table2[[#This Row],[1]:[2]]))</f>
        <v>16</v>
      </c>
      <c r="AJ291" s="439">
        <v>0</v>
      </c>
      <c r="AK291" s="439">
        <v>3</v>
      </c>
    </row>
    <row r="292" spans="1:37" s="408" customFormat="1" x14ac:dyDescent="0.25">
      <c r="A292" s="437" t="s">
        <v>542</v>
      </c>
      <c r="B292" s="426" t="s">
        <v>36</v>
      </c>
      <c r="C292" s="438" t="str">
        <f>VLOOKUP(Table2[[#This Row],[Course Title]],'TSD-Data'!$A$1:$E$56,2,FALSE)</f>
        <v>A-493-2017</v>
      </c>
      <c r="D292" s="438" t="str">
        <f>VLOOKUP(Table2[[#This Row],[Course Title]],'TSD-Data'!$A$1:$E$56,3,FALSE)</f>
        <v>12x3</v>
      </c>
      <c r="E292" s="455" t="s">
        <v>166</v>
      </c>
      <c r="F292" s="418">
        <v>45782</v>
      </c>
      <c r="G292" s="418">
        <v>45786</v>
      </c>
      <c r="H292" s="417">
        <v>0.33333333333333331</v>
      </c>
      <c r="I292" s="417"/>
      <c r="J292" s="418"/>
      <c r="K292" s="418"/>
      <c r="L292" s="418"/>
      <c r="M292" s="418"/>
      <c r="N292" s="418"/>
      <c r="O292" s="437" t="s">
        <v>280</v>
      </c>
      <c r="P292" s="437"/>
      <c r="Q292" s="365"/>
      <c r="R292" s="440">
        <f>VLOOKUP(Table2[[#This Row],[Course Title]],'TSD-Data'!$A$1:$E$56,4,FALSE)</f>
        <v>25</v>
      </c>
      <c r="S292" s="439">
        <f>VLOOKUP(Table2[[#This Row],[Course Title]],'TSD-Data'!$A$1:$F$53,6,FALSE)</f>
        <v>40</v>
      </c>
      <c r="T292" s="444">
        <f>VLOOKUP(Table2[[#This Row],[Course Title]],'TSD-Data'!$A$1:$E$56,5,FALSE)</f>
        <v>5</v>
      </c>
      <c r="U292" s="444">
        <v>12</v>
      </c>
      <c r="V292" s="439">
        <f>Table2[[#This Row],[Quotas]]-Table2[[#This Row],[Open Quotas]]</f>
        <v>24</v>
      </c>
      <c r="W292" s="444">
        <v>0</v>
      </c>
      <c r="X292" s="440"/>
      <c r="Y292" s="440"/>
      <c r="Z292" s="439"/>
      <c r="AA292" s="439"/>
      <c r="AB292" s="439"/>
      <c r="AC292" s="439"/>
      <c r="AD292" s="440">
        <f ca="1">Table2[[#This Row],[End Date]]+2-TODAY()</f>
        <v>11</v>
      </c>
      <c r="AE292" s="439">
        <f>IF(ISBLANK(Table2[[#This Row],[Received by]]),1,0)</f>
        <v>1</v>
      </c>
      <c r="AF292" s="439">
        <f ca="1">IF(Table2[[#This Row],[Start Date]]&gt;TODAY(),1,)</f>
        <v>1</v>
      </c>
      <c r="AG292" s="439">
        <f>IF(ISBLANK(Table2[[#This Row],[Primary Instructor]]),0,1)</f>
        <v>1</v>
      </c>
      <c r="AH292" s="439">
        <f>IF(ISBLANK(Table2[[#This Row],[Instructor 2]]),0,1)</f>
        <v>0</v>
      </c>
      <c r="AI292" s="439">
        <f>Table2[[#This Row],[Course Length (Hours)]]/(SUM(Table2[[#This Row],[1]:[2]]))</f>
        <v>40</v>
      </c>
      <c r="AJ292" s="439">
        <v>1</v>
      </c>
      <c r="AK292" s="439">
        <v>3</v>
      </c>
    </row>
    <row r="293" spans="1:37" s="408" customFormat="1" x14ac:dyDescent="0.25">
      <c r="A293" s="429" t="s">
        <v>474</v>
      </c>
      <c r="B293" s="426" t="s">
        <v>28</v>
      </c>
      <c r="C293" s="427" t="str">
        <f>VLOOKUP(Table2[[#This Row],[Course Title]],'TSD-Data'!$A$1:$E$56,2,FALSE)</f>
        <v>A-493-0013</v>
      </c>
      <c r="D293" s="427">
        <f>VLOOKUP(Table2[[#This Row],[Course Title]],'TSD-Data'!$A$1:$E$56,3,FALSE)</f>
        <v>3683</v>
      </c>
      <c r="E293" s="455" t="s">
        <v>196</v>
      </c>
      <c r="F293" s="418">
        <v>45783</v>
      </c>
      <c r="G293" s="418">
        <v>45785</v>
      </c>
      <c r="H293" s="417">
        <v>0.33333333333333331</v>
      </c>
      <c r="I293" s="417"/>
      <c r="J293" s="418"/>
      <c r="K293" s="418"/>
      <c r="L293" s="418"/>
      <c r="M293" s="418"/>
      <c r="N293" s="418"/>
      <c r="O293" s="437" t="s">
        <v>289</v>
      </c>
      <c r="P293" s="429"/>
      <c r="Q293" s="365"/>
      <c r="R293" s="414">
        <f>VLOOKUP(Table2[[#This Row],[Course Title]],'TSD-Data'!$A$1:$E$56,4,FALSE)</f>
        <v>40</v>
      </c>
      <c r="S293" s="414">
        <f>VLOOKUP(Table2[[#This Row],[Course Title]],'TSD-Data'!$A$1:$F$53,6,FALSE)</f>
        <v>24</v>
      </c>
      <c r="T293" s="414">
        <f>VLOOKUP(Table2[[#This Row],[Course Title]],'TSD-Data'!$A$1:$E$56,5,FALSE)</f>
        <v>3</v>
      </c>
      <c r="U293" s="414">
        <v>0</v>
      </c>
      <c r="V293" s="414">
        <f>Table2[[#This Row],[Quotas]]-Table2[[#This Row],[Open Quotas]]</f>
        <v>8</v>
      </c>
      <c r="W293" s="414">
        <v>0</v>
      </c>
      <c r="X293" s="414"/>
      <c r="Y293" s="419"/>
      <c r="Z293" s="414"/>
      <c r="AA293" s="414"/>
      <c r="AB293" s="414"/>
      <c r="AC293" s="414"/>
      <c r="AD293" s="419">
        <f ca="1">Table2[[#This Row],[End Date]]+2-TODAY()</f>
        <v>10</v>
      </c>
      <c r="AE293" s="414">
        <f>IF(ISBLANK(Table2[[#This Row],[Received by]]),1,0)</f>
        <v>1</v>
      </c>
      <c r="AF293" s="414">
        <f ca="1">IF(Table2[[#This Row],[Start Date]]&gt;TODAY(),1,)</f>
        <v>1</v>
      </c>
      <c r="AG293" s="414">
        <f>IF(ISBLANK(Table2[[#This Row],[Primary Instructor]]),0,1)</f>
        <v>1</v>
      </c>
      <c r="AH293" s="414">
        <f>IF(ISBLANK(Table2[[#This Row],[Instructor 2]]),0,1)</f>
        <v>0</v>
      </c>
      <c r="AI293" s="414">
        <f>Table2[[#This Row],[Course Length (Hours)]]/(SUM(Table2[[#This Row],[1]:[2]]))</f>
        <v>24</v>
      </c>
      <c r="AJ293" s="414">
        <v>32</v>
      </c>
      <c r="AK293" s="414">
        <v>3</v>
      </c>
    </row>
    <row r="294" spans="1:37" s="408" customFormat="1" x14ac:dyDescent="0.25">
      <c r="A294" s="429"/>
      <c r="B294" s="426" t="s">
        <v>28</v>
      </c>
      <c r="C294" s="530" t="str">
        <f>VLOOKUP(Table2[[#This Row],[Course Title]],'TSD-Data'!$A$1:$E$56,2,FALSE)</f>
        <v>A-493-0013</v>
      </c>
      <c r="D294" s="530">
        <v>3683</v>
      </c>
      <c r="E294" s="455" t="s">
        <v>160</v>
      </c>
      <c r="F294" s="418">
        <v>45783</v>
      </c>
      <c r="G294" s="418">
        <v>45785</v>
      </c>
      <c r="H294" s="422">
        <v>0.33333333333333331</v>
      </c>
      <c r="I294" s="417"/>
      <c r="J294" s="418"/>
      <c r="K294" s="418"/>
      <c r="L294" s="418"/>
      <c r="M294" s="418"/>
      <c r="N294" s="418"/>
      <c r="O294" s="483"/>
      <c r="P294" s="489"/>
      <c r="Q294" s="429"/>
      <c r="R294" s="476">
        <f>VLOOKUP(Table2[[#This Row],[Course Title]],'TSD-Data'!$A$1:$E$56,4,FALSE)</f>
        <v>40</v>
      </c>
      <c r="S294" s="476">
        <f>VLOOKUP(Table2[[#This Row],[Course Title]],'TSD-Data'!$A$1:$F$53,6,FALSE)</f>
        <v>24</v>
      </c>
      <c r="T294" s="414">
        <f>VLOOKUP(Table2[[#This Row],[Course Title]],'TSD-Data'!$A$1:$E$56,5,FALSE)</f>
        <v>3</v>
      </c>
      <c r="U294" s="414">
        <v>30</v>
      </c>
      <c r="V294" s="414">
        <f>Table2[[#This Row],[Quotas]]-Table2[[#This Row],[Open Quotas]]</f>
        <v>12</v>
      </c>
      <c r="W294" s="414"/>
      <c r="X294" s="419"/>
      <c r="Y294" s="419"/>
      <c r="Z294" s="476"/>
      <c r="AA294" s="476"/>
      <c r="AB294" s="414"/>
      <c r="AC294" s="414"/>
      <c r="AD294" s="419">
        <f ca="1">Table2[[#This Row],[End Date]]+2-TODAY()</f>
        <v>10</v>
      </c>
      <c r="AE294" s="476">
        <f>IF(ISBLANK(Table2[[#This Row],[Received by]]),1,0)</f>
        <v>1</v>
      </c>
      <c r="AF294" s="476">
        <f ca="1">IF(Table2[[#This Row],[Start Date]]&gt;TODAY(),1,)</f>
        <v>1</v>
      </c>
      <c r="AG294" s="476">
        <f>IF(ISBLANK(Table2[[#This Row],[Primary Instructor]]),0,1)</f>
        <v>0</v>
      </c>
      <c r="AH294" s="476">
        <f>IF(ISBLANK(Table2[[#This Row],[Instructor 2]]),0,1)</f>
        <v>0</v>
      </c>
      <c r="AI294" s="476" t="e">
        <f>Table2[[#This Row],[Course Length (Hours)]]/(SUM(Table2[[#This Row],[1]:[2]]))</f>
        <v>#DIV/0!</v>
      </c>
      <c r="AJ294" s="476">
        <v>28</v>
      </c>
      <c r="AK294" s="476"/>
    </row>
    <row r="295" spans="1:37" s="408" customFormat="1" x14ac:dyDescent="0.25">
      <c r="A295" s="437"/>
      <c r="B295" s="426" t="s">
        <v>31</v>
      </c>
      <c r="C295" s="438" t="str">
        <f>VLOOKUP(Table2[[#This Row],[Course Title]],'TSD-Data'!$A$1:$E$56,2,FALSE)</f>
        <v>A-493-0083</v>
      </c>
      <c r="D295" s="438" t="str">
        <f>VLOOKUP(Table2[[#This Row],[Course Title]],'TSD-Data'!$A$1:$E$56,3,FALSE)</f>
        <v>339E</v>
      </c>
      <c r="E295" s="455" t="s">
        <v>174</v>
      </c>
      <c r="F295" s="418">
        <v>45785</v>
      </c>
      <c r="G295" s="418">
        <v>45785</v>
      </c>
      <c r="H295" s="417">
        <v>0.33333333333333331</v>
      </c>
      <c r="I295" s="417"/>
      <c r="J295" s="417"/>
      <c r="K295" s="417"/>
      <c r="L295" s="417"/>
      <c r="M295" s="417"/>
      <c r="N295" s="417"/>
      <c r="O295" s="437" t="s">
        <v>280</v>
      </c>
      <c r="P295" s="437"/>
      <c r="Q295" s="365"/>
      <c r="R295" s="439">
        <f>VLOOKUP(Table2[[#This Row],[Course Title]],'TSD-Data'!$A$1:$E$56,4,FALSE)</f>
        <v>30</v>
      </c>
      <c r="S295" s="439">
        <f>VLOOKUP(Table2[[#This Row],[Course Title]],'TSD-Data'!$A$1:$F$53,6,FALSE)</f>
        <v>8</v>
      </c>
      <c r="T295" s="439">
        <f>VLOOKUP(Table2[[#This Row],[Course Title]],'TSD-Data'!$A$1:$E$56,5,FALSE)</f>
        <v>1</v>
      </c>
      <c r="U295" s="439">
        <v>20</v>
      </c>
      <c r="V295" s="439">
        <f>Table2[[#This Row],[Quotas]]-Table2[[#This Row],[Open Quotas]]</f>
        <v>30</v>
      </c>
      <c r="W295" s="439">
        <v>0</v>
      </c>
      <c r="X295" s="439"/>
      <c r="Y295" s="440"/>
      <c r="Z295" s="439"/>
      <c r="AA295" s="439"/>
      <c r="AB295" s="439"/>
      <c r="AC295" s="439"/>
      <c r="AD295" s="440">
        <f ca="1">Table2[[#This Row],[End Date]]+2-TODAY()</f>
        <v>10</v>
      </c>
      <c r="AE295" s="439">
        <f>IF(ISBLANK(Table2[[#This Row],[Received by]]),1,0)</f>
        <v>1</v>
      </c>
      <c r="AF295" s="439">
        <f ca="1">IF(Table2[[#This Row],[Start Date]]&gt;TODAY(),1,)</f>
        <v>1</v>
      </c>
      <c r="AG295" s="439">
        <f>IF(ISBLANK(Table2[[#This Row],[Primary Instructor]]),0,1)</f>
        <v>1</v>
      </c>
      <c r="AH295" s="439">
        <f>IF(ISBLANK(Table2[[#This Row],[Instructor 2]]),0,1)</f>
        <v>0</v>
      </c>
      <c r="AI295" s="439">
        <f>Table2[[#This Row],[Course Length (Hours)]]/(SUM(Table2[[#This Row],[1]:[2]]))</f>
        <v>8</v>
      </c>
      <c r="AJ295" s="439">
        <v>0</v>
      </c>
      <c r="AK295" s="439">
        <v>3</v>
      </c>
    </row>
    <row r="296" spans="1:37" s="408" customFormat="1" x14ac:dyDescent="0.25">
      <c r="A296" s="429" t="s">
        <v>455</v>
      </c>
      <c r="B296" s="426" t="s">
        <v>56</v>
      </c>
      <c r="C296" s="427" t="str">
        <f>VLOOKUP(Table2[[#This Row],[Course Title]],'TSD-Data'!$A$1:$E$56,2,FALSE)</f>
        <v>A-493-0021</v>
      </c>
      <c r="D296" s="427" t="str">
        <f>VLOOKUP(Table2[[#This Row],[Course Title]],'TSD-Data'!$A$1:$E$56,3,FALSE)</f>
        <v>18BN</v>
      </c>
      <c r="E296" s="455" t="s">
        <v>179</v>
      </c>
      <c r="F296" s="418">
        <v>45789</v>
      </c>
      <c r="G296" s="418">
        <v>45793</v>
      </c>
      <c r="H296" s="422">
        <v>0.33333333333333331</v>
      </c>
      <c r="I296" s="422"/>
      <c r="J296" s="420"/>
      <c r="K296" s="420"/>
      <c r="L296" s="420"/>
      <c r="M296" s="420"/>
      <c r="N296" s="418"/>
      <c r="O296" s="429" t="s">
        <v>314</v>
      </c>
      <c r="P296" s="429"/>
      <c r="Q296" s="365"/>
      <c r="R296" s="414">
        <f>VLOOKUP(Table2[[#This Row],[Course Title]],'TSD-Data'!$A$1:$E$56,4,FALSE)</f>
        <v>35</v>
      </c>
      <c r="S296" s="414">
        <f>VLOOKUP(Table2[[#This Row],[Course Title]],'TSD-Data'!$A$1:$F$53,6,FALSE)</f>
        <v>30</v>
      </c>
      <c r="T296" s="414">
        <f>VLOOKUP(Table2[[#This Row],[Course Title]],'TSD-Data'!$A$1:$E$56,5,FALSE)</f>
        <v>5</v>
      </c>
      <c r="U296" s="414">
        <v>11</v>
      </c>
      <c r="V296" s="414">
        <f>Table2[[#This Row],[Quotas]]-Table2[[#This Row],[Open Quotas]]</f>
        <v>0</v>
      </c>
      <c r="W296" s="414">
        <v>0</v>
      </c>
      <c r="X296" s="419"/>
      <c r="Y296" s="419"/>
      <c r="Z296" s="414"/>
      <c r="AA296" s="414"/>
      <c r="AB296" s="414"/>
      <c r="AC296" s="414"/>
      <c r="AD296" s="419">
        <f ca="1">Table2[[#This Row],[End Date]]+2-TODAY()</f>
        <v>18</v>
      </c>
      <c r="AE296" s="414">
        <f>IF(ISBLANK(Table2[[#This Row],[Received by]]),1,0)</f>
        <v>1</v>
      </c>
      <c r="AF296" s="414">
        <f ca="1">IF(Table2[[#This Row],[Start Date]]&gt;TODAY(),1,)</f>
        <v>1</v>
      </c>
      <c r="AG296" s="414">
        <f>IF(ISBLANK(Table2[[#This Row],[Primary Instructor]]),0,1)</f>
        <v>1</v>
      </c>
      <c r="AH296" s="414">
        <f>IF(ISBLANK(Table2[[#This Row],[Instructor 2]]),0,1)</f>
        <v>0</v>
      </c>
      <c r="AI296" s="414">
        <f>Table2[[#This Row],[Course Length (Hours)]]/(SUM(Table2[[#This Row],[1]:[2]]))</f>
        <v>30</v>
      </c>
      <c r="AJ296" s="414">
        <v>35</v>
      </c>
      <c r="AK296" s="414">
        <v>3</v>
      </c>
    </row>
    <row r="297" spans="1:37" s="408" customFormat="1" x14ac:dyDescent="0.25">
      <c r="A297" s="429" t="s">
        <v>471</v>
      </c>
      <c r="B297" s="426" t="s">
        <v>28</v>
      </c>
      <c r="C297" s="427" t="str">
        <f>VLOOKUP(Table2[[#This Row],[Course Title]],'TSD-Data'!$A$1:$E$56,2,FALSE)</f>
        <v>A-493-0013</v>
      </c>
      <c r="D297" s="427">
        <f>VLOOKUP(Table2[[#This Row],[Course Title]],'TSD-Data'!$A$1:$E$56,3,FALSE)</f>
        <v>3683</v>
      </c>
      <c r="E297" s="531" t="s">
        <v>180</v>
      </c>
      <c r="F297" s="434">
        <v>45789</v>
      </c>
      <c r="G297" s="434">
        <v>45791</v>
      </c>
      <c r="H297" s="422">
        <v>0.33333333333333331</v>
      </c>
      <c r="I297" s="421"/>
      <c r="J297" s="420"/>
      <c r="K297" s="420"/>
      <c r="L297" s="420"/>
      <c r="M297" s="420"/>
      <c r="N297" s="420"/>
      <c r="O297" s="429" t="s">
        <v>257</v>
      </c>
      <c r="P297" s="429"/>
      <c r="Q297" s="365"/>
      <c r="R297" s="414">
        <f>VLOOKUP(Table2[[#This Row],[Course Title]],'TSD-Data'!$A$1:$E$56,4,FALSE)</f>
        <v>40</v>
      </c>
      <c r="S297" s="414">
        <f>VLOOKUP(Table2[[#This Row],[Course Title]],'TSD-Data'!$A$1:$F$53,6,FALSE)</f>
        <v>24</v>
      </c>
      <c r="T297" s="414">
        <f>VLOOKUP(Table2[[#This Row],[Course Title]],'TSD-Data'!$A$1:$E$56,5,FALSE)</f>
        <v>3</v>
      </c>
      <c r="U297" s="414">
        <v>10</v>
      </c>
      <c r="V297" s="414">
        <f>Table2[[#This Row],[Quotas]]-Table2[[#This Row],[Open Quotas]]</f>
        <v>23</v>
      </c>
      <c r="W297" s="414">
        <v>0</v>
      </c>
      <c r="X297" s="414"/>
      <c r="Y297" s="419"/>
      <c r="Z297" s="414"/>
      <c r="AA297" s="414"/>
      <c r="AB297" s="414"/>
      <c r="AC297" s="414"/>
      <c r="AD297" s="419">
        <f ca="1">Table2[[#This Row],[End Date]]+2-TODAY()</f>
        <v>16</v>
      </c>
      <c r="AE297" s="414">
        <f>IF(ISBLANK(Table2[[#This Row],[Received by]]),1,0)</f>
        <v>1</v>
      </c>
      <c r="AF297" s="414">
        <f ca="1">IF(Table2[[#This Row],[Start Date]]&gt;TODAY(),1,)</f>
        <v>1</v>
      </c>
      <c r="AG297" s="414">
        <f>IF(ISBLANK(Table2[[#This Row],[Primary Instructor]]),0,1)</f>
        <v>1</v>
      </c>
      <c r="AH297" s="414">
        <f>IF(ISBLANK(Table2[[#This Row],[Instructor 2]]),0,1)</f>
        <v>0</v>
      </c>
      <c r="AI297" s="414">
        <f>Table2[[#This Row],[Course Length (Hours)]]/(SUM(Table2[[#This Row],[1]:[2]]))</f>
        <v>24</v>
      </c>
      <c r="AJ297" s="414">
        <v>17</v>
      </c>
      <c r="AK297" s="414">
        <v>3</v>
      </c>
    </row>
    <row r="298" spans="1:37" s="408" customFormat="1" x14ac:dyDescent="0.25">
      <c r="A298" s="425"/>
      <c r="B298" s="426" t="s">
        <v>29</v>
      </c>
      <c r="C298" s="427" t="str">
        <f>VLOOKUP(Table2[[#This Row],[Course Title]],'TSD-Data'!$A$1:$E$56,2,FALSE)</f>
        <v>A-493-0077</v>
      </c>
      <c r="D298" s="427" t="str">
        <f>VLOOKUP(Table2[[#This Row],[Course Title]],'TSD-Data'!$A$1:$E$56,3,FALSE)</f>
        <v>0381</v>
      </c>
      <c r="E298" s="455" t="s">
        <v>198</v>
      </c>
      <c r="F298" s="418">
        <v>45789</v>
      </c>
      <c r="G298" s="418">
        <v>45791</v>
      </c>
      <c r="H298" s="422">
        <v>0.33333333333333331</v>
      </c>
      <c r="I298" s="422"/>
      <c r="J298" s="422"/>
      <c r="K298" s="422"/>
      <c r="L298" s="422"/>
      <c r="M298" s="422"/>
      <c r="N298" s="422"/>
      <c r="O298" s="429" t="s">
        <v>280</v>
      </c>
      <c r="P298" s="429"/>
      <c r="Q298" s="365"/>
      <c r="R298" s="414">
        <f>VLOOKUP(Table2[[#This Row],[Course Title]],'TSD-Data'!$A$1:$E$56,4,FALSE)</f>
        <v>25</v>
      </c>
      <c r="S298" s="414">
        <f>VLOOKUP(Table2[[#This Row],[Course Title]],'TSD-Data'!$A$1:$F$53,6,FALSE)</f>
        <v>24</v>
      </c>
      <c r="T298" s="414">
        <f>VLOOKUP(Table2[[#This Row],[Course Title]],'TSD-Data'!$A$1:$E$56,5,FALSE)</f>
        <v>3</v>
      </c>
      <c r="U298" s="414">
        <v>139</v>
      </c>
      <c r="V298" s="414">
        <f>Table2[[#This Row],[Quotas]]-Table2[[#This Row],[Open Quotas]]</f>
        <v>18</v>
      </c>
      <c r="W298" s="414"/>
      <c r="X298" s="414"/>
      <c r="Y298" s="419"/>
      <c r="Z298" s="414"/>
      <c r="AA298" s="414"/>
      <c r="AB298" s="414"/>
      <c r="AC298" s="414"/>
      <c r="AD298" s="419">
        <f ca="1">Table2[[#This Row],[End Date]]+2-TODAY()</f>
        <v>16</v>
      </c>
      <c r="AE298" s="414">
        <f>IF(ISBLANK(Table2[[#This Row],[Received by]]),1,0)</f>
        <v>1</v>
      </c>
      <c r="AF298" s="414">
        <f ca="1">IF(Table2[[#This Row],[Start Date]]&gt;TODAY(),1,)</f>
        <v>1</v>
      </c>
      <c r="AG298" s="414">
        <f>IF(ISBLANK(Table2[[#This Row],[Primary Instructor]]),0,1)</f>
        <v>1</v>
      </c>
      <c r="AH298" s="414">
        <f>IF(ISBLANK(Table2[[#This Row],[Instructor 2]]),0,1)</f>
        <v>0</v>
      </c>
      <c r="AI298" s="414">
        <f>Table2[[#This Row],[Course Length (Hours)]]/(SUM(Table2[[#This Row],[1]:[2]]))</f>
        <v>24</v>
      </c>
      <c r="AJ298" s="414">
        <v>7</v>
      </c>
      <c r="AK298" s="414">
        <v>3</v>
      </c>
    </row>
    <row r="299" spans="1:37" s="408" customFormat="1" x14ac:dyDescent="0.25">
      <c r="A299" s="437"/>
      <c r="B299" s="426" t="s">
        <v>53</v>
      </c>
      <c r="C299" s="438" t="str">
        <f>VLOOKUP(Table2[[#This Row],[Course Title]],'TSD-Data'!$A$1:$E$56,2,FALSE)</f>
        <v>A-493-0072</v>
      </c>
      <c r="D299" s="438" t="str">
        <f>VLOOKUP(Table2[[#This Row],[Course Title]],'TSD-Data'!$A$1:$E$56,3,FALSE)</f>
        <v>713U</v>
      </c>
      <c r="E299" s="455" t="s">
        <v>160</v>
      </c>
      <c r="F299" s="418">
        <v>45789</v>
      </c>
      <c r="G299" s="418">
        <v>45793</v>
      </c>
      <c r="H299" s="417">
        <v>0.33333333333333331</v>
      </c>
      <c r="I299" s="417"/>
      <c r="J299" s="417"/>
      <c r="K299" s="417"/>
      <c r="L299" s="417"/>
      <c r="M299" s="417"/>
      <c r="N299" s="418"/>
      <c r="O299" s="437" t="s">
        <v>315</v>
      </c>
      <c r="P299" s="437" t="s">
        <v>278</v>
      </c>
      <c r="Q299" s="365"/>
      <c r="R299" s="439">
        <f>VLOOKUP(Table2[[#This Row],[Course Title]],'TSD-Data'!$A$1:$E$56,4,FALSE)</f>
        <v>30</v>
      </c>
      <c r="S299" s="439">
        <f>VLOOKUP(Table2[[#This Row],[Course Title]],'TSD-Data'!$A$1:$F$53,6,FALSE)</f>
        <v>40</v>
      </c>
      <c r="T299" s="439">
        <f>VLOOKUP(Table2[[#This Row],[Course Title]],'TSD-Data'!$A$1:$E$56,5,FALSE)</f>
        <v>5</v>
      </c>
      <c r="U299" s="439">
        <v>20</v>
      </c>
      <c r="V299" s="439">
        <f>Table2[[#This Row],[Quotas]]-Table2[[#This Row],[Open Quotas]]</f>
        <v>25</v>
      </c>
      <c r="W299" s="439">
        <v>0</v>
      </c>
      <c r="X299" s="439"/>
      <c r="Y299" s="440"/>
      <c r="Z299" s="439"/>
      <c r="AA299" s="439"/>
      <c r="AB299" s="439"/>
      <c r="AC299" s="439"/>
      <c r="AD299" s="440">
        <f ca="1">Table2[[#This Row],[End Date]]+2-TODAY()</f>
        <v>18</v>
      </c>
      <c r="AE299" s="439">
        <f>IF(ISBLANK(Table2[[#This Row],[Received by]]),1,0)</f>
        <v>1</v>
      </c>
      <c r="AF299" s="439">
        <f ca="1">IF(Table2[[#This Row],[Start Date]]&gt;TODAY(),1,)</f>
        <v>1</v>
      </c>
      <c r="AG299" s="439">
        <f>IF(ISBLANK(Table2[[#This Row],[Primary Instructor]]),0,1)</f>
        <v>1</v>
      </c>
      <c r="AH299" s="439">
        <f>IF(ISBLANK(Table2[[#This Row],[Instructor 2]]),0,1)</f>
        <v>1</v>
      </c>
      <c r="AI299" s="439">
        <f>Table2[[#This Row],[Course Length (Hours)]]/(SUM(Table2[[#This Row],[1]:[2]]))</f>
        <v>20</v>
      </c>
      <c r="AJ299" s="439">
        <v>5</v>
      </c>
      <c r="AK299" s="439">
        <v>3</v>
      </c>
    </row>
    <row r="300" spans="1:37" s="408" customFormat="1" x14ac:dyDescent="0.25">
      <c r="A300" s="438"/>
      <c r="B300" s="426" t="s">
        <v>54</v>
      </c>
      <c r="C300" s="438" t="str">
        <f>VLOOKUP(Table2[[#This Row],[Course Title]],'TSD-Data'!$A$1:$E$56,2,FALSE)</f>
        <v>F-4J-0023</v>
      </c>
      <c r="D300" s="438" t="str">
        <f>VLOOKUP(Table2[[#This Row],[Course Title]],'TSD-Data'!$A$1:$E$56,3,FALSE)</f>
        <v>11A2</v>
      </c>
      <c r="E300" s="433" t="s">
        <v>86</v>
      </c>
      <c r="F300" s="418">
        <v>45789</v>
      </c>
      <c r="G300" s="418">
        <v>45790</v>
      </c>
      <c r="H300" s="417"/>
      <c r="I300" s="443">
        <v>0.5</v>
      </c>
      <c r="J300" s="443">
        <v>0.375</v>
      </c>
      <c r="K300" s="443">
        <v>0.79166666666666663</v>
      </c>
      <c r="L300" s="443">
        <v>0.75</v>
      </c>
      <c r="M300" s="443">
        <v>0.25</v>
      </c>
      <c r="N300" s="443">
        <v>4.1666666666666664E-2</v>
      </c>
      <c r="O300" s="437" t="s">
        <v>282</v>
      </c>
      <c r="P300" s="437"/>
      <c r="Q300" s="365"/>
      <c r="R300" s="439">
        <f>VLOOKUP(Table2[[#This Row],[Course Title]],'TSD-Data'!$A$1:$E$56,4,FALSE)</f>
        <v>45</v>
      </c>
      <c r="S300" s="439">
        <f>VLOOKUP(Table2[[#This Row],[Course Title]],'TSD-Data'!$A$1:$F$53,6,FALSE)</f>
        <v>16</v>
      </c>
      <c r="T300" s="439">
        <f>VLOOKUP(Table2[[#This Row],[Course Title]],'TSD-Data'!$A$1:$E$56,5,FALSE)</f>
        <v>2</v>
      </c>
      <c r="U300" s="439">
        <v>70</v>
      </c>
      <c r="V300" s="439">
        <f>Table2[[#This Row],[Quotas]]-Table2[[#This Row],[Open Quotas]]</f>
        <v>19</v>
      </c>
      <c r="W300" s="439">
        <v>0</v>
      </c>
      <c r="X300" s="444"/>
      <c r="Y300" s="444"/>
      <c r="Z300" s="438"/>
      <c r="AA300" s="438"/>
      <c r="AB300" s="444"/>
      <c r="AC300" s="439"/>
      <c r="AD300" s="440">
        <f ca="1">Table2[[#This Row],[End Date]]+2-TODAY()</f>
        <v>15</v>
      </c>
      <c r="AE300" s="439">
        <f>IF(ISBLANK(Table2[[#This Row],[Received by]]),1,0)</f>
        <v>1</v>
      </c>
      <c r="AF300" s="439">
        <f ca="1">IF(Table2[[#This Row],[Start Date]]&gt;TODAY(),1,)</f>
        <v>1</v>
      </c>
      <c r="AG300" s="439">
        <f>IF(ISBLANK(Table2[[#This Row],[Primary Instructor]]),0,1)</f>
        <v>1</v>
      </c>
      <c r="AH300" s="439">
        <v>0</v>
      </c>
      <c r="AI300" s="439">
        <f>Table2[[#This Row],[Course Length (Hours)]]/(SUM(Table2[[#This Row],[1]:[2]]))</f>
        <v>16</v>
      </c>
      <c r="AJ300" s="439">
        <v>26</v>
      </c>
      <c r="AK300" s="439">
        <v>3</v>
      </c>
    </row>
    <row r="301" spans="1:37" s="408" customFormat="1" x14ac:dyDescent="0.25">
      <c r="A301" s="437"/>
      <c r="B301" s="426" t="s">
        <v>15</v>
      </c>
      <c r="C301" s="438" t="str">
        <f>VLOOKUP(Table2[[#This Row],[Course Title]],'TSD-Data'!$A$1:$E$56,2,FALSE)</f>
        <v>A-4J-0022</v>
      </c>
      <c r="D301" s="438" t="str">
        <f>VLOOKUP(Table2[[#This Row],[Course Title]],'TSD-Data'!$A$1:$E$56,3,FALSE)</f>
        <v>09ER</v>
      </c>
      <c r="E301" s="455" t="s">
        <v>86</v>
      </c>
      <c r="F301" s="452">
        <v>45790</v>
      </c>
      <c r="G301" s="452">
        <v>45791</v>
      </c>
      <c r="H301" s="417"/>
      <c r="I301" s="443">
        <v>0.5</v>
      </c>
      <c r="J301" s="443">
        <v>0.375</v>
      </c>
      <c r="K301" s="443">
        <v>0.79166666666666663</v>
      </c>
      <c r="L301" s="443">
        <v>0.75</v>
      </c>
      <c r="M301" s="443">
        <v>0.25</v>
      </c>
      <c r="N301" s="443">
        <v>4.1666666666666664E-2</v>
      </c>
      <c r="O301" s="437" t="s">
        <v>272</v>
      </c>
      <c r="P301" s="437" t="s">
        <v>275</v>
      </c>
      <c r="Q301" s="365"/>
      <c r="R301" s="439">
        <f>VLOOKUP(Table2[[#This Row],[Course Title]],'TSD-Data'!$A$1:$E$56,4,FALSE)</f>
        <v>45</v>
      </c>
      <c r="S301" s="439">
        <f>VLOOKUP(Table2[[#This Row],[Course Title]],'TSD-Data'!$A$1:$F$53,6,FALSE)</f>
        <v>16</v>
      </c>
      <c r="T301" s="439">
        <f>VLOOKUP(Table2[[#This Row],[Course Title]],'TSD-Data'!$A$1:$E$56,5,FALSE)</f>
        <v>2</v>
      </c>
      <c r="U301" s="439">
        <v>277</v>
      </c>
      <c r="V301" s="439">
        <f>Table2[[#This Row],[Quotas]]-Table2[[#This Row],[Open Quotas]]</f>
        <v>44</v>
      </c>
      <c r="W301" s="439">
        <v>0</v>
      </c>
      <c r="X301" s="439"/>
      <c r="Y301" s="440"/>
      <c r="Z301" s="439"/>
      <c r="AA301" s="439"/>
      <c r="AB301" s="439"/>
      <c r="AC301" s="439"/>
      <c r="AD301" s="440">
        <f ca="1">Table2[[#This Row],[End Date]]+2-TODAY()</f>
        <v>16</v>
      </c>
      <c r="AE301" s="439">
        <f>IF(ISBLANK(Table2[[#This Row],[Received by]]),1,0)</f>
        <v>1</v>
      </c>
      <c r="AF301" s="439">
        <f ca="1">IF(Table2[[#This Row],[Start Date]]&gt;TODAY(),1,)</f>
        <v>1</v>
      </c>
      <c r="AG301" s="439">
        <f>IF(ISBLANK(Table2[[#This Row],[Primary Instructor]]),0,1)</f>
        <v>1</v>
      </c>
      <c r="AH301" s="439">
        <f>IF(ISBLANK(Table2[[#This Row],[Instructor 2]]),0,1)</f>
        <v>1</v>
      </c>
      <c r="AI301" s="439">
        <f>Table2[[#This Row],[Course Length (Hours)]]/(SUM(Table2[[#This Row],[1]:[2]]))</f>
        <v>8</v>
      </c>
      <c r="AJ301" s="439">
        <v>1</v>
      </c>
      <c r="AK301" s="439">
        <v>3</v>
      </c>
    </row>
    <row r="302" spans="1:37" s="408" customFormat="1" x14ac:dyDescent="0.25">
      <c r="A302" s="427"/>
      <c r="B302" s="426" t="s">
        <v>57</v>
      </c>
      <c r="C302" s="427" t="str">
        <f>VLOOKUP(Table2[[#This Row],[Course Title]],'TSD-Data'!$A$1:$E$56,2,FALSE)</f>
        <v>A-493-0099</v>
      </c>
      <c r="D302" s="427" t="str">
        <f>VLOOKUP(Table2[[#This Row],[Course Title]],'TSD-Data'!$A$1:$E$56,3,FALSE)</f>
        <v>12JW</v>
      </c>
      <c r="E302" s="455" t="s">
        <v>86</v>
      </c>
      <c r="F302" s="420">
        <v>45790</v>
      </c>
      <c r="G302" s="420">
        <v>45792</v>
      </c>
      <c r="H302" s="422"/>
      <c r="I302" s="422">
        <v>0.45833333333333331</v>
      </c>
      <c r="J302" s="422">
        <v>0.33333333333333331</v>
      </c>
      <c r="K302" s="422">
        <v>0.75</v>
      </c>
      <c r="L302" s="422">
        <v>0.66666666666666663</v>
      </c>
      <c r="M302" s="422">
        <v>0.20833333333333334</v>
      </c>
      <c r="N302" s="422">
        <v>0</v>
      </c>
      <c r="O302" s="429" t="s">
        <v>305</v>
      </c>
      <c r="P302" s="429"/>
      <c r="Q302" s="365"/>
      <c r="R302" s="419">
        <f>VLOOKUP(Table2[[#This Row],[Course Title]],'TSD-Data'!$A$1:$E$56,4,FALSE)</f>
        <v>45</v>
      </c>
      <c r="S302" s="414">
        <f>VLOOKUP(Table2[[#This Row],[Course Title]],'TSD-Data'!$A$1:$F$53,6,FALSE)</f>
        <v>24</v>
      </c>
      <c r="T302" s="414">
        <f>VLOOKUP(Table2[[#This Row],[Course Title]],'TSD-Data'!$A$1:$E$56,5,FALSE)</f>
        <v>3</v>
      </c>
      <c r="U302" s="414">
        <v>718</v>
      </c>
      <c r="V302" s="414">
        <f>Table2[[#This Row],[Quotas]]-Table2[[#This Row],[Open Quotas]]</f>
        <v>16</v>
      </c>
      <c r="W302" s="414">
        <v>0</v>
      </c>
      <c r="X302" s="447"/>
      <c r="Y302" s="447"/>
      <c r="Z302" s="427"/>
      <c r="AA302" s="427"/>
      <c r="AB302" s="447"/>
      <c r="AC302" s="414"/>
      <c r="AD302" s="419">
        <f ca="1">Table2[[#This Row],[End Date]]+2-TODAY()</f>
        <v>17</v>
      </c>
      <c r="AE302" s="414">
        <f>IF(ISBLANK(Table2[[#This Row],[Received by]]),1,0)</f>
        <v>1</v>
      </c>
      <c r="AF302" s="414">
        <f ca="1">IF(Table2[[#This Row],[Start Date]]&gt;TODAY(),1,)</f>
        <v>1</v>
      </c>
      <c r="AG302" s="414">
        <f>IF(ISBLANK(Table2[[#This Row],[Primary Instructor]]),0,1)</f>
        <v>1</v>
      </c>
      <c r="AH302" s="414">
        <f>IF(ISBLANK(Table2[[#This Row],[Instructor 2]]),0,1)</f>
        <v>0</v>
      </c>
      <c r="AI302" s="414">
        <f>Table2[[#This Row],[Course Length (Hours)]]/(SUM(Table2[[#This Row],[1]:[2]]))</f>
        <v>24</v>
      </c>
      <c r="AJ302" s="414">
        <v>29</v>
      </c>
      <c r="AK302" s="414">
        <v>3</v>
      </c>
    </row>
    <row r="303" spans="1:37" s="408" customFormat="1" x14ac:dyDescent="0.25">
      <c r="A303" s="429"/>
      <c r="B303" s="426" t="s">
        <v>58</v>
      </c>
      <c r="C303" s="427" t="str">
        <f>VLOOKUP(Table2[[#This Row],[Course Title]],'TSD-Data'!$A$1:$E$56,2,FALSE)</f>
        <v xml:space="preserve">A-493-0075 </v>
      </c>
      <c r="D303" s="427" t="str">
        <f>VLOOKUP(Table2[[#This Row],[Course Title]],'TSD-Data'!$A$1:$E$56,3,FALSE)</f>
        <v>714U</v>
      </c>
      <c r="E303" s="433" t="s">
        <v>220</v>
      </c>
      <c r="F303" s="420">
        <v>45790</v>
      </c>
      <c r="G303" s="420">
        <v>45793</v>
      </c>
      <c r="H303" s="422">
        <v>0.33333333333333331</v>
      </c>
      <c r="I303" s="421"/>
      <c r="J303" s="421"/>
      <c r="K303" s="421"/>
      <c r="L303" s="421"/>
      <c r="M303" s="421"/>
      <c r="N303" s="421"/>
      <c r="O303" s="429" t="s">
        <v>314</v>
      </c>
      <c r="P303" s="429"/>
      <c r="Q303" s="365"/>
      <c r="R303" s="414">
        <f>VLOOKUP(Table2[[#This Row],[Course Title]],'TSD-Data'!$A$1:$E$56,4,FALSE)</f>
        <v>30</v>
      </c>
      <c r="S303" s="414">
        <f>VLOOKUP(Table2[[#This Row],[Course Title]],'TSD-Data'!$A$1:$F$53,6,FALSE)</f>
        <v>32</v>
      </c>
      <c r="T303" s="414">
        <f>VLOOKUP(Table2[[#This Row],[Course Title]],'TSD-Data'!$A$1:$E$56,5,FALSE)</f>
        <v>4</v>
      </c>
      <c r="U303" s="414">
        <v>36</v>
      </c>
      <c r="V303" s="414">
        <f>Table2[[#This Row],[Quotas]]-Table2[[#This Row],[Open Quotas]]</f>
        <v>8</v>
      </c>
      <c r="W303" s="414">
        <v>0</v>
      </c>
      <c r="X303" s="414"/>
      <c r="Y303" s="419"/>
      <c r="Z303" s="414"/>
      <c r="AA303" s="414"/>
      <c r="AB303" s="414"/>
      <c r="AC303" s="414"/>
      <c r="AD303" s="419">
        <f ca="1">Table2[[#This Row],[End Date]]+2-TODAY()</f>
        <v>18</v>
      </c>
      <c r="AE303" s="414">
        <f>IF(ISBLANK(Table2[[#This Row],[Received by]]),1,0)</f>
        <v>1</v>
      </c>
      <c r="AF303" s="414">
        <f ca="1">IF(Table2[[#This Row],[Start Date]]&gt;TODAY(),1,)</f>
        <v>1</v>
      </c>
      <c r="AG303" s="414">
        <f>IF(ISBLANK(Table2[[#This Row],[Primary Instructor]]),0,1)</f>
        <v>1</v>
      </c>
      <c r="AH303" s="414">
        <f>IF(ISBLANK(Table2[[#This Row],[Instructor 2]]),0,1)</f>
        <v>0</v>
      </c>
      <c r="AI303" s="414">
        <f>Table2[[#This Row],[Course Length (Hours)]]/(SUM(Table2[[#This Row],[1]:[2]]))</f>
        <v>32</v>
      </c>
      <c r="AJ303" s="414">
        <v>22</v>
      </c>
      <c r="AK303" s="414">
        <v>3</v>
      </c>
    </row>
    <row r="304" spans="1:37" s="408" customFormat="1" x14ac:dyDescent="0.25">
      <c r="A304" s="437"/>
      <c r="B304" s="426" t="s">
        <v>50</v>
      </c>
      <c r="C304" s="438" t="str">
        <f>VLOOKUP(Table2[[#This Row],[Course Title]],'TSD-Data'!$A$1:$E$56,2,FALSE)</f>
        <v>A-493-0331</v>
      </c>
      <c r="D304" s="438" t="str">
        <f>VLOOKUP(Table2[[#This Row],[Course Title]],'TSD-Data'!$A$1:$E$56,3,FALSE)</f>
        <v>10UG</v>
      </c>
      <c r="E304" s="433" t="s">
        <v>86</v>
      </c>
      <c r="F304" s="418">
        <v>45790</v>
      </c>
      <c r="G304" s="418">
        <v>45792</v>
      </c>
      <c r="H304" s="418"/>
      <c r="I304" s="443">
        <v>0.5</v>
      </c>
      <c r="J304" s="443">
        <v>0.375</v>
      </c>
      <c r="K304" s="443">
        <v>0.79166666666666663</v>
      </c>
      <c r="L304" s="443">
        <v>0.75</v>
      </c>
      <c r="M304" s="443">
        <v>0.25</v>
      </c>
      <c r="N304" s="443">
        <v>4.1666666666666664E-2</v>
      </c>
      <c r="O304" s="437" t="s">
        <v>318</v>
      </c>
      <c r="P304" s="437"/>
      <c r="Q304" s="365"/>
      <c r="R304" s="439">
        <f>VLOOKUP(Table2[[#This Row],[Course Title]],'TSD-Data'!$A$1:$E$56,4,FALSE)</f>
        <v>45</v>
      </c>
      <c r="S304" s="439">
        <f>VLOOKUP(Table2[[#This Row],[Course Title]],'TSD-Data'!$A$1:$F$53,6,FALSE)</f>
        <v>24</v>
      </c>
      <c r="T304" s="439">
        <f>VLOOKUP(Table2[[#This Row],[Course Title]],'TSD-Data'!$A$1:$E$56,5,FALSE)</f>
        <v>3</v>
      </c>
      <c r="U304" s="439">
        <v>805</v>
      </c>
      <c r="V304" s="439">
        <f>Table2[[#This Row],[Quotas]]-Table2[[#This Row],[Open Quotas]]</f>
        <v>45</v>
      </c>
      <c r="W304" s="439">
        <v>5</v>
      </c>
      <c r="X304" s="439"/>
      <c r="Y304" s="440"/>
      <c r="Z304" s="439"/>
      <c r="AA304" s="439"/>
      <c r="AB304" s="439"/>
      <c r="AC304" s="439"/>
      <c r="AD304" s="440">
        <f ca="1">Table2[[#This Row],[End Date]]+2-TODAY()</f>
        <v>17</v>
      </c>
      <c r="AE304" s="439">
        <f>IF(ISBLANK(Table2[[#This Row],[Received by]]),1,0)</f>
        <v>1</v>
      </c>
      <c r="AF304" s="439">
        <f ca="1">IF(Table2[[#This Row],[Start Date]]&gt;TODAY(),1,)</f>
        <v>1</v>
      </c>
      <c r="AG304" s="439">
        <f>IF(ISBLANK(Table2[[#This Row],[Primary Instructor]]),0,1)</f>
        <v>1</v>
      </c>
      <c r="AH304" s="439">
        <f>IF(ISBLANK(Table2[[#This Row],[Instructor 2]]),0,1)</f>
        <v>0</v>
      </c>
      <c r="AI304" s="439">
        <f>Table2[[#This Row],[Course Length (Hours)]]/(SUM(Table2[[#This Row],[1]:[2]]))</f>
        <v>24</v>
      </c>
      <c r="AJ304" s="439">
        <v>0</v>
      </c>
      <c r="AK304" s="439">
        <v>3</v>
      </c>
    </row>
    <row r="305" spans="1:37" s="408" customFormat="1" x14ac:dyDescent="0.25">
      <c r="A305" s="437"/>
      <c r="B305" s="426" t="s">
        <v>31</v>
      </c>
      <c r="C305" s="438" t="str">
        <f>VLOOKUP(Table2[[#This Row],[Course Title]],'TSD-Data'!$A$1:$E$56,2,FALSE)</f>
        <v>A-493-0083</v>
      </c>
      <c r="D305" s="438" t="str">
        <f>VLOOKUP(Table2[[#This Row],[Course Title]],'TSD-Data'!$A$1:$E$56,3,FALSE)</f>
        <v>339E</v>
      </c>
      <c r="E305" s="455" t="s">
        <v>198</v>
      </c>
      <c r="F305" s="418">
        <v>45792</v>
      </c>
      <c r="G305" s="418">
        <v>45792</v>
      </c>
      <c r="H305" s="417">
        <v>0.33333333333333331</v>
      </c>
      <c r="I305" s="417"/>
      <c r="J305" s="417"/>
      <c r="K305" s="417"/>
      <c r="L305" s="417"/>
      <c r="M305" s="417"/>
      <c r="N305" s="417"/>
      <c r="O305" s="437" t="s">
        <v>280</v>
      </c>
      <c r="P305" s="437"/>
      <c r="Q305" s="365"/>
      <c r="R305" s="439">
        <f>VLOOKUP(Table2[[#This Row],[Course Title]],'TSD-Data'!$A$1:$E$56,4,FALSE)</f>
        <v>30</v>
      </c>
      <c r="S305" s="439">
        <f>VLOOKUP(Table2[[#This Row],[Course Title]],'TSD-Data'!$A$1:$F$53,6,FALSE)</f>
        <v>8</v>
      </c>
      <c r="T305" s="439">
        <f>VLOOKUP(Table2[[#This Row],[Course Title]],'TSD-Data'!$A$1:$E$56,5,FALSE)</f>
        <v>1</v>
      </c>
      <c r="U305" s="439">
        <v>143</v>
      </c>
      <c r="V305" s="439">
        <f>Table2[[#This Row],[Quotas]]-Table2[[#This Row],[Open Quotas]]</f>
        <v>18</v>
      </c>
      <c r="W305" s="439">
        <v>0</v>
      </c>
      <c r="X305" s="439"/>
      <c r="Y305" s="440"/>
      <c r="Z305" s="439"/>
      <c r="AA305" s="439"/>
      <c r="AB305" s="439"/>
      <c r="AC305" s="439"/>
      <c r="AD305" s="440">
        <f ca="1">Table2[[#This Row],[End Date]]+2-TODAY()</f>
        <v>17</v>
      </c>
      <c r="AE305" s="439">
        <f>IF(ISBLANK(Table2[[#This Row],[Received by]]),1,0)</f>
        <v>1</v>
      </c>
      <c r="AF305" s="439">
        <f ca="1">IF(Table2[[#This Row],[Start Date]]&gt;TODAY(),1,)</f>
        <v>1</v>
      </c>
      <c r="AG305" s="439">
        <f>IF(ISBLANK(Table2[[#This Row],[Primary Instructor]]),0,1)</f>
        <v>1</v>
      </c>
      <c r="AH305" s="439">
        <f>IF(ISBLANK(Table2[[#This Row],[Instructor 2]]),0,1)</f>
        <v>0</v>
      </c>
      <c r="AI305" s="439">
        <f>Table2[[#This Row],[Course Length (Hours)]]/(SUM(Table2[[#This Row],[1]:[2]]))</f>
        <v>8</v>
      </c>
      <c r="AJ305" s="439">
        <v>12</v>
      </c>
      <c r="AK305" s="439">
        <v>3</v>
      </c>
    </row>
    <row r="306" spans="1:37" s="408" customFormat="1" x14ac:dyDescent="0.25">
      <c r="A306" s="429"/>
      <c r="B306" s="426" t="s">
        <v>120</v>
      </c>
      <c r="C306" s="427" t="str">
        <f>VLOOKUP(Table2[[#This Row],[Course Title]],'TSD-Data'!$A$1:$E$56,2,FALSE)</f>
        <v>A-322-2604</v>
      </c>
      <c r="D306" s="427" t="str">
        <f>VLOOKUP(Table2[[#This Row],[Course Title]],'TSD-Data'!$A$1:$E$56,3,FALSE)</f>
        <v>10ZZ</v>
      </c>
      <c r="E306" s="455" t="s">
        <v>86</v>
      </c>
      <c r="F306" s="418">
        <v>45795</v>
      </c>
      <c r="G306" s="418">
        <v>45797</v>
      </c>
      <c r="H306" s="422"/>
      <c r="I306" s="422">
        <v>0.79166666666666663</v>
      </c>
      <c r="J306" s="421">
        <v>0.66666666666666663</v>
      </c>
      <c r="K306" s="421">
        <v>8.3333333333333329E-2</v>
      </c>
      <c r="L306" s="421">
        <v>0</v>
      </c>
      <c r="M306" s="421">
        <v>0.54166666666666663</v>
      </c>
      <c r="N306" s="421">
        <v>0.33333333333333331</v>
      </c>
      <c r="O306" s="389" t="s">
        <v>288</v>
      </c>
      <c r="P306" s="429"/>
      <c r="Q306" s="365"/>
      <c r="R306" s="414">
        <f>VLOOKUP(Table2[[#This Row],[Course Title]],'TSD-Data'!$A$1:$E$56,4,FALSE)</f>
        <v>45</v>
      </c>
      <c r="S306" s="414">
        <f>VLOOKUP(Table2[[#This Row],[Course Title]],'TSD-Data'!$A$1:$F$53,6,FALSE)</f>
        <v>24</v>
      </c>
      <c r="T306" s="414">
        <f>VLOOKUP(Table2[[#This Row],[Course Title]],'TSD-Data'!$A$1:$E$56,5,FALSE)</f>
        <v>3</v>
      </c>
      <c r="U306" s="414">
        <v>105</v>
      </c>
      <c r="V306" s="414">
        <f>Table2[[#This Row],[Quotas]]-Table2[[#This Row],[Open Quotas]]</f>
        <v>32</v>
      </c>
      <c r="W306" s="414">
        <v>0</v>
      </c>
      <c r="X306" s="419"/>
      <c r="Y306" s="419"/>
      <c r="Z306" s="414"/>
      <c r="AA306" s="414"/>
      <c r="AB306" s="427"/>
      <c r="AC306" s="414"/>
      <c r="AD306" s="419">
        <f ca="1">Table2[[#This Row],[End Date]]+2-TODAY()</f>
        <v>22</v>
      </c>
      <c r="AE306" s="414">
        <f>IF(ISBLANK(Table2[[#This Row],[Received by]]),1,0)</f>
        <v>1</v>
      </c>
      <c r="AF306" s="414">
        <f ca="1">IF(Table2[[#This Row],[Start Date]]&gt;TODAY(),1,)</f>
        <v>1</v>
      </c>
      <c r="AG306" s="414">
        <f>IF(ISBLANK(Table2[[#This Row],[Primary Instructor]]),0,1)</f>
        <v>1</v>
      </c>
      <c r="AH306" s="414">
        <f>IF(ISBLANK(Table2[[#This Row],[Instructor 2]]),0,1)</f>
        <v>0</v>
      </c>
      <c r="AI306" s="414">
        <f>Table2[[#This Row],[Course Length (Hours)]]/(SUM(Table2[[#This Row],[1]:[2]]))</f>
        <v>24</v>
      </c>
      <c r="AJ306" s="414">
        <v>13</v>
      </c>
      <c r="AK306" s="414">
        <v>3</v>
      </c>
    </row>
    <row r="307" spans="1:37" s="408" customFormat="1" x14ac:dyDescent="0.25">
      <c r="A307" s="437"/>
      <c r="B307" s="426" t="s">
        <v>37</v>
      </c>
      <c r="C307" s="438" t="str">
        <f>VLOOKUP(Table2[[#This Row],[Course Title]],'TSD-Data'!$A$1:$E$56,2,FALSE)</f>
        <v>A-493-0665</v>
      </c>
      <c r="D307" s="438" t="str">
        <f>VLOOKUP(Table2[[#This Row],[Course Title]],'TSD-Data'!$A$1:$E$56,3,FALSE)</f>
        <v>10KW</v>
      </c>
      <c r="E307" s="455" t="s">
        <v>86</v>
      </c>
      <c r="F307" s="418">
        <v>45796</v>
      </c>
      <c r="G307" s="418">
        <v>45798</v>
      </c>
      <c r="H307" s="417"/>
      <c r="I307" s="417">
        <v>0.33333333333333331</v>
      </c>
      <c r="J307" s="417">
        <v>0.20833333333333334</v>
      </c>
      <c r="K307" s="417">
        <v>0.625</v>
      </c>
      <c r="L307" s="417">
        <v>0.54166666666666663</v>
      </c>
      <c r="M307" s="417">
        <v>8.3333333333333329E-2</v>
      </c>
      <c r="N307" s="417">
        <v>0.875</v>
      </c>
      <c r="O307" s="437" t="s">
        <v>286</v>
      </c>
      <c r="P307" s="437"/>
      <c r="Q307" s="365"/>
      <c r="R307" s="439">
        <f>VLOOKUP(Table2[[#This Row],[Course Title]],'TSD-Data'!$A$1:$E$56,4,FALSE)</f>
        <v>45</v>
      </c>
      <c r="S307" s="439">
        <f>VLOOKUP(Table2[[#This Row],[Course Title]],'TSD-Data'!$A$1:$F$53,6,FALSE)</f>
        <v>24</v>
      </c>
      <c r="T307" s="439">
        <f>VLOOKUP(Table2[[#This Row],[Course Title]],'TSD-Data'!$A$1:$E$56,5,FALSE)</f>
        <v>3</v>
      </c>
      <c r="U307" s="439">
        <v>172</v>
      </c>
      <c r="V307" s="439">
        <f>Table2[[#This Row],[Quotas]]-Table2[[#This Row],[Open Quotas]]</f>
        <v>20</v>
      </c>
      <c r="W307" s="439">
        <v>0</v>
      </c>
      <c r="X307" s="440"/>
      <c r="Y307" s="440"/>
      <c r="Z307" s="439"/>
      <c r="AA307" s="439"/>
      <c r="AB307" s="438"/>
      <c r="AC307" s="439"/>
      <c r="AD307" s="440">
        <f ca="1">Table2[[#This Row],[End Date]]+2-TODAY()</f>
        <v>23</v>
      </c>
      <c r="AE307" s="439">
        <f>IF(ISBLANK(Table2[[#This Row],[Received by]]),1,0)</f>
        <v>1</v>
      </c>
      <c r="AF307" s="439">
        <f ca="1">IF(Table2[[#This Row],[Start Date]]&gt;TODAY(),1,)</f>
        <v>1</v>
      </c>
      <c r="AG307" s="439">
        <f>IF(ISBLANK(Table2[[#This Row],[Primary Instructor]]),0,1)</f>
        <v>1</v>
      </c>
      <c r="AH307" s="439">
        <f>IF(ISBLANK(Table2[[#This Row],[Instructor 2]]),0,1)</f>
        <v>0</v>
      </c>
      <c r="AI307" s="439">
        <f>Table2[[#This Row],[Course Length (Hours)]]/(SUM(Table2[[#This Row],[1]:[2]]))</f>
        <v>24</v>
      </c>
      <c r="AJ307" s="439">
        <v>25</v>
      </c>
      <c r="AK307" s="439">
        <v>3</v>
      </c>
    </row>
    <row r="308" spans="1:37" s="408" customFormat="1" x14ac:dyDescent="0.25">
      <c r="A308" s="429"/>
      <c r="B308" s="426" t="s">
        <v>17</v>
      </c>
      <c r="C308" s="427" t="str">
        <f>VLOOKUP(Table2[[#This Row],[Course Title]],'TSD-Data'!$A$1:$E$56,2,FALSE)</f>
        <v>A-493-0012</v>
      </c>
      <c r="D308" s="427">
        <f>VLOOKUP(Table2[[#This Row],[Course Title]],'TSD-Data'!$A$1:$E$56,3,FALSE)</f>
        <v>3682</v>
      </c>
      <c r="E308" s="448" t="s">
        <v>164</v>
      </c>
      <c r="F308" s="418">
        <v>45796</v>
      </c>
      <c r="G308" s="418">
        <v>45800</v>
      </c>
      <c r="H308" s="422">
        <v>0.33333333333333331</v>
      </c>
      <c r="I308" s="422"/>
      <c r="J308" s="418"/>
      <c r="K308" s="420"/>
      <c r="L308" s="420"/>
      <c r="M308" s="420"/>
      <c r="N308" s="420"/>
      <c r="O308" s="429" t="s">
        <v>283</v>
      </c>
      <c r="P308" s="429"/>
      <c r="Q308" s="365"/>
      <c r="R308" s="414">
        <f>VLOOKUP(Table2[[#This Row],[Course Title]],'TSD-Data'!$A$1:$E$56,4,FALSE)</f>
        <v>40</v>
      </c>
      <c r="S308" s="414">
        <f>VLOOKUP(Table2[[#This Row],[Course Title]],'TSD-Data'!$A$1:$F$53,6,FALSE)</f>
        <v>40</v>
      </c>
      <c r="T308" s="414">
        <f>VLOOKUP(Table2[[#This Row],[Course Title]],'TSD-Data'!$A$1:$E$56,5,FALSE)</f>
        <v>5</v>
      </c>
      <c r="U308" s="414">
        <v>30</v>
      </c>
      <c r="V308" s="414">
        <f>Table2[[#This Row],[Quotas]]-Table2[[#This Row],[Open Quotas]]</f>
        <v>13</v>
      </c>
      <c r="W308" s="414">
        <v>0</v>
      </c>
      <c r="X308" s="414"/>
      <c r="Y308" s="419"/>
      <c r="Z308" s="414"/>
      <c r="AA308" s="414"/>
      <c r="AB308" s="427"/>
      <c r="AC308" s="414"/>
      <c r="AD308" s="419">
        <f ca="1">Table2[[#This Row],[End Date]]+2-TODAY()</f>
        <v>25</v>
      </c>
      <c r="AE308" s="414">
        <f>IF(ISBLANK(Table2[[#This Row],[Received by]]),1,0)</f>
        <v>1</v>
      </c>
      <c r="AF308" s="414">
        <f ca="1">IF(Table2[[#This Row],[Start Date]]&gt;TODAY(),1,)</f>
        <v>1</v>
      </c>
      <c r="AG308" s="414">
        <f>IF(ISBLANK(Table2[[#This Row],[Primary Instructor]]),0,1)</f>
        <v>1</v>
      </c>
      <c r="AH308" s="414">
        <f>IF(ISBLANK(Table2[[#This Row],[Instructor 2]]),0,1)</f>
        <v>0</v>
      </c>
      <c r="AI308" s="414">
        <f>Table2[[#This Row],[Course Length (Hours)]]/(SUM(Table2[[#This Row],[1]:[2]]))</f>
        <v>40</v>
      </c>
      <c r="AJ308" s="414">
        <v>27</v>
      </c>
      <c r="AK308" s="414">
        <v>3</v>
      </c>
    </row>
    <row r="309" spans="1:37" s="408" customFormat="1" x14ac:dyDescent="0.25">
      <c r="A309" s="429"/>
      <c r="B309" s="426" t="s">
        <v>38</v>
      </c>
      <c r="C309" s="427" t="str">
        <f>VLOOKUP(Table2[[#This Row],[Course Title]],'TSD-Data'!$A$1:$E$56,2,FALSE)</f>
        <v>A-493-0061</v>
      </c>
      <c r="D309" s="427" t="str">
        <f>VLOOKUP(Table2[[#This Row],[Course Title]],'TSD-Data'!$A$1:$E$56,3,FALSE)</f>
        <v>288E</v>
      </c>
      <c r="E309" s="455" t="s">
        <v>86</v>
      </c>
      <c r="F309" s="418">
        <v>45796</v>
      </c>
      <c r="G309" s="418">
        <v>45799</v>
      </c>
      <c r="H309" s="422"/>
      <c r="I309" s="421">
        <v>0.5</v>
      </c>
      <c r="J309" s="421">
        <v>0.375</v>
      </c>
      <c r="K309" s="421">
        <v>0.79166666666666663</v>
      </c>
      <c r="L309" s="421">
        <v>0.75</v>
      </c>
      <c r="M309" s="421">
        <v>0.25</v>
      </c>
      <c r="N309" s="421">
        <v>4.1666666666666664E-2</v>
      </c>
      <c r="O309" s="429" t="s">
        <v>303</v>
      </c>
      <c r="P309" s="429"/>
      <c r="Q309" s="365"/>
      <c r="R309" s="419">
        <f>VLOOKUP(Table2[[#This Row],[Course Title]],'TSD-Data'!$A$1:$E$56,4,FALSE)</f>
        <v>45</v>
      </c>
      <c r="S309" s="414">
        <f>VLOOKUP(Table2[[#This Row],[Course Title]],'TSD-Data'!$A$1:$F$53,6,FALSE)</f>
        <v>30</v>
      </c>
      <c r="T309" s="414">
        <f>VLOOKUP(Table2[[#This Row],[Course Title]],'TSD-Data'!$A$1:$E$56,5,FALSE)</f>
        <v>4</v>
      </c>
      <c r="U309" s="414">
        <v>533</v>
      </c>
      <c r="V309" s="414">
        <f>Table2[[#This Row],[Quotas]]-Table2[[#This Row],[Open Quotas]]</f>
        <v>14</v>
      </c>
      <c r="W309" s="414">
        <v>0</v>
      </c>
      <c r="X309" s="419"/>
      <c r="Y309" s="419"/>
      <c r="Z309" s="414"/>
      <c r="AA309" s="414"/>
      <c r="AB309" s="427"/>
      <c r="AC309" s="414"/>
      <c r="AD309" s="419">
        <f ca="1">Table2[[#This Row],[End Date]]+2-TODAY()</f>
        <v>24</v>
      </c>
      <c r="AE309" s="414">
        <f>IF(ISBLANK(Table2[[#This Row],[Received by]]),1,0)</f>
        <v>1</v>
      </c>
      <c r="AF309" s="414">
        <f ca="1">IF(Table2[[#This Row],[Start Date]]&gt;TODAY(),1,)</f>
        <v>1</v>
      </c>
      <c r="AG309" s="414">
        <f>IF(ISBLANK(Table2[[#This Row],[Primary Instructor]]),0,1)</f>
        <v>1</v>
      </c>
      <c r="AH309" s="414">
        <f>IF(ISBLANK(Table2[[#This Row],[Instructor 2]]),0,1)</f>
        <v>0</v>
      </c>
      <c r="AI309" s="414">
        <f>Table2[[#This Row],[Course Length (Hours)]]/(SUM(Table2[[#This Row],[1]:[2]]))</f>
        <v>30</v>
      </c>
      <c r="AJ309" s="414">
        <v>31</v>
      </c>
      <c r="AK309" s="414">
        <v>3</v>
      </c>
    </row>
    <row r="310" spans="1:37" s="408" customFormat="1" x14ac:dyDescent="0.25">
      <c r="A310" s="433"/>
      <c r="B310" s="433" t="s">
        <v>51</v>
      </c>
      <c r="C310" s="438" t="str">
        <f>VLOOKUP(Table2[[#This Row],[Course Title]],'TSD-Data'!$A$1:$E$56,2,FALSE)</f>
        <v>A-493-0335</v>
      </c>
      <c r="D310" s="438" t="str">
        <f>VLOOKUP(Table2[[#This Row],[Course Title]],'TSD-Data'!$A$1:$E$56,3,FALSE)</f>
        <v>09ND</v>
      </c>
      <c r="E310" s="455" t="s">
        <v>86</v>
      </c>
      <c r="F310" s="418">
        <v>45796</v>
      </c>
      <c r="G310" s="418">
        <v>45799</v>
      </c>
      <c r="H310" s="417"/>
      <c r="I310" s="443">
        <v>0.5</v>
      </c>
      <c r="J310" s="443">
        <v>0.375</v>
      </c>
      <c r="K310" s="443">
        <v>0.79166666666666663</v>
      </c>
      <c r="L310" s="443">
        <v>0.75</v>
      </c>
      <c r="M310" s="443">
        <v>0.25</v>
      </c>
      <c r="N310" s="443">
        <v>4.1666666666666664E-2</v>
      </c>
      <c r="O310" s="437" t="s">
        <v>274</v>
      </c>
      <c r="P310" s="437"/>
      <c r="Q310" s="365"/>
      <c r="R310" s="439">
        <f>VLOOKUP(Table2[[#This Row],[Course Title]],'TSD-Data'!$A$1:$E$56,4,FALSE)</f>
        <v>45</v>
      </c>
      <c r="S310" s="439">
        <f>VLOOKUP(Table2[[#This Row],[Course Title]],'TSD-Data'!$A$1:$F$53,6,FALSE)</f>
        <v>32</v>
      </c>
      <c r="T310" s="439">
        <f>VLOOKUP(Table2[[#This Row],[Course Title]],'TSD-Data'!$A$1:$E$56,5,FALSE)</f>
        <v>4</v>
      </c>
      <c r="U310" s="439">
        <v>400</v>
      </c>
      <c r="V310" s="439">
        <f>Table2[[#This Row],[Quotas]]-Table2[[#This Row],[Open Quotas]]</f>
        <v>12</v>
      </c>
      <c r="W310" s="439">
        <v>0</v>
      </c>
      <c r="X310" s="439"/>
      <c r="Y310" s="440"/>
      <c r="Z310" s="439"/>
      <c r="AA310" s="439"/>
      <c r="AB310" s="439"/>
      <c r="AC310" s="439"/>
      <c r="AD310" s="440">
        <f ca="1">Table2[[#This Row],[End Date]]+2-TODAY()</f>
        <v>24</v>
      </c>
      <c r="AE310" s="439">
        <f>IF(ISBLANK(Table2[[#This Row],[Received by]]),1,0)</f>
        <v>1</v>
      </c>
      <c r="AF310" s="439">
        <f ca="1">IF(Table2[[#This Row],[Start Date]]&gt;TODAY(),1,)</f>
        <v>1</v>
      </c>
      <c r="AG310" s="439">
        <f>IF(ISBLANK(Table2[[#This Row],[Primary Instructor]]),0,1)</f>
        <v>1</v>
      </c>
      <c r="AH310" s="439">
        <f>IF(ISBLANK(Table2[[#This Row],[Instructor 2]]),0,1)</f>
        <v>0</v>
      </c>
      <c r="AI310" s="439">
        <f>Table2[[#This Row],[Course Length (Hours)]]/(SUM(Table2[[#This Row],[1]:[2]]))</f>
        <v>32</v>
      </c>
      <c r="AJ310" s="439">
        <v>33</v>
      </c>
      <c r="AK310" s="439">
        <v>3</v>
      </c>
    </row>
    <row r="311" spans="1:37" s="408" customFormat="1" x14ac:dyDescent="0.25">
      <c r="A311" s="454" t="s">
        <v>452</v>
      </c>
      <c r="B311" s="433" t="s">
        <v>59</v>
      </c>
      <c r="C311" s="438" t="str">
        <f>VLOOKUP(Table2[[#This Row],[Course Title]],'TSD-Data'!$A$1:$E$56,2,FALSE)</f>
        <v>A-493-0550</v>
      </c>
      <c r="D311" s="438" t="str">
        <f>VLOOKUP(Table2[[#This Row],[Course Title]],'TSD-Data'!$A$1:$E$56,3,FALSE)</f>
        <v>09K5</v>
      </c>
      <c r="E311" s="433" t="s">
        <v>86</v>
      </c>
      <c r="F311" s="418">
        <v>45796</v>
      </c>
      <c r="G311" s="418">
        <v>45799</v>
      </c>
      <c r="H311" s="418"/>
      <c r="I311" s="443">
        <v>0.33333333333333331</v>
      </c>
      <c r="J311" s="417">
        <v>0.20833333333333334</v>
      </c>
      <c r="K311" s="417">
        <v>0.625</v>
      </c>
      <c r="L311" s="417">
        <v>0.54166666666666663</v>
      </c>
      <c r="M311" s="417">
        <v>8.3333333333333329E-2</v>
      </c>
      <c r="N311" s="417">
        <v>0.875</v>
      </c>
      <c r="O311" s="437" t="s">
        <v>301</v>
      </c>
      <c r="P311" s="437"/>
      <c r="Q311" s="365"/>
      <c r="R311" s="439">
        <f>VLOOKUP(Table2[[#This Row],[Course Title]],'TSD-Data'!$A$1:$E$56,4,FALSE)</f>
        <v>45</v>
      </c>
      <c r="S311" s="439">
        <f>VLOOKUP(Table2[[#This Row],[Course Title]],'TSD-Data'!$A$1:$F$53,6,FALSE)</f>
        <v>32</v>
      </c>
      <c r="T311" s="439">
        <f>VLOOKUP(Table2[[#This Row],[Course Title]],'TSD-Data'!$A$1:$E$56,5,FALSE)</f>
        <v>4</v>
      </c>
      <c r="U311" s="439">
        <v>845</v>
      </c>
      <c r="V311" s="439">
        <f>Table2[[#This Row],[Quotas]]-Table2[[#This Row],[Open Quotas]]</f>
        <v>45</v>
      </c>
      <c r="W311" s="439">
        <v>0</v>
      </c>
      <c r="X311" s="439"/>
      <c r="Y311" s="440"/>
      <c r="Z311" s="439"/>
      <c r="AA311" s="439"/>
      <c r="AB311" s="440"/>
      <c r="AC311" s="439"/>
      <c r="AD311" s="440">
        <f ca="1">Table2[[#This Row],[End Date]]+2-TODAY()</f>
        <v>24</v>
      </c>
      <c r="AE311" s="439">
        <f>IF(ISBLANK(Table2[[#This Row],[Received by]]),1,0)</f>
        <v>1</v>
      </c>
      <c r="AF311" s="439">
        <f ca="1">IF(Table2[[#This Row],[Start Date]]&gt;TODAY(),1,)</f>
        <v>1</v>
      </c>
      <c r="AG311" s="439">
        <f>IF(ISBLANK(Table2[[#This Row],[Primary Instructor]]),0,1)</f>
        <v>1</v>
      </c>
      <c r="AH311" s="439">
        <f>IF(ISBLANK(Table2[[#This Row],[Instructor 2]]),0,1)</f>
        <v>0</v>
      </c>
      <c r="AI311" s="439">
        <f>Table2[[#This Row],[Course Length (Hours)]]/(SUM(Table2[[#This Row],[1]:[2]]))</f>
        <v>32</v>
      </c>
      <c r="AJ311" s="439"/>
      <c r="AK311" s="439">
        <v>3</v>
      </c>
    </row>
    <row r="312" spans="1:37" s="408" customFormat="1" x14ac:dyDescent="0.25">
      <c r="A312" s="437"/>
      <c r="B312" s="433" t="s">
        <v>60</v>
      </c>
      <c r="C312" s="438" t="str">
        <f>VLOOKUP(Table2[[#This Row],[Course Title]],'TSD-Data'!$A$1:$E$56,2,FALSE)</f>
        <v>A-493-0073</v>
      </c>
      <c r="D312" s="438" t="str">
        <f>VLOOKUP(Table2[[#This Row],[Course Title]],'TSD-Data'!$A$1:$E$56,3,FALSE)</f>
        <v>714S</v>
      </c>
      <c r="E312" s="433" t="s">
        <v>86</v>
      </c>
      <c r="F312" s="418">
        <v>45796</v>
      </c>
      <c r="G312" s="418">
        <v>45799</v>
      </c>
      <c r="H312" s="418"/>
      <c r="I312" s="443">
        <v>0.33333333333333331</v>
      </c>
      <c r="J312" s="417">
        <v>0.20833333333333334</v>
      </c>
      <c r="K312" s="417">
        <v>0.625</v>
      </c>
      <c r="L312" s="417">
        <v>0.54166666666666663</v>
      </c>
      <c r="M312" s="417">
        <v>8.3333333333333329E-2</v>
      </c>
      <c r="N312" s="417">
        <v>0.875</v>
      </c>
      <c r="O312" s="437" t="s">
        <v>314</v>
      </c>
      <c r="P312" s="437"/>
      <c r="Q312" s="365"/>
      <c r="R312" s="439">
        <f>VLOOKUP(Table2[[#This Row],[Course Title]],'TSD-Data'!$A$1:$E$56,4,FALSE)</f>
        <v>30</v>
      </c>
      <c r="S312" s="439">
        <f>VLOOKUP(Table2[[#This Row],[Course Title]],'TSD-Data'!$A$1:$F$53,6,FALSE)</f>
        <v>32</v>
      </c>
      <c r="T312" s="439">
        <f>VLOOKUP(Table2[[#This Row],[Course Title]],'TSD-Data'!$A$1:$E$56,5,FALSE)</f>
        <v>4</v>
      </c>
      <c r="U312" s="439">
        <v>284</v>
      </c>
      <c r="V312" s="439">
        <f>Table2[[#This Row],[Quotas]]-Table2[[#This Row],[Open Quotas]]</f>
        <v>27</v>
      </c>
      <c r="W312" s="439">
        <v>0</v>
      </c>
      <c r="X312" s="439"/>
      <c r="Y312" s="440"/>
      <c r="Z312" s="439"/>
      <c r="AA312" s="439"/>
      <c r="AB312" s="438"/>
      <c r="AC312" s="439"/>
      <c r="AD312" s="440">
        <f ca="1">Table2[[#This Row],[End Date]]+2-TODAY()</f>
        <v>24</v>
      </c>
      <c r="AE312" s="439">
        <f>IF(ISBLANK(Table2[[#This Row],[Received by]]),1,0)</f>
        <v>1</v>
      </c>
      <c r="AF312" s="439">
        <f ca="1">IF(Table2[[#This Row],[Start Date]]&gt;TODAY(),1,)</f>
        <v>1</v>
      </c>
      <c r="AG312" s="439">
        <f>IF(ISBLANK(Table2[[#This Row],[Primary Instructor]]),0,1)</f>
        <v>1</v>
      </c>
      <c r="AH312" s="439">
        <f>IF(ISBLANK(Table2[[#This Row],[Instructor 2]]),0,1)</f>
        <v>0</v>
      </c>
      <c r="AI312" s="439">
        <f>Table2[[#This Row],[Course Length (Hours)]]/(SUM(Table2[[#This Row],[1]:[2]]))</f>
        <v>32</v>
      </c>
      <c r="AJ312" s="439">
        <v>3</v>
      </c>
      <c r="AK312" s="439">
        <v>3</v>
      </c>
    </row>
    <row r="313" spans="1:37" s="408" customFormat="1" x14ac:dyDescent="0.25">
      <c r="A313" s="437"/>
      <c r="B313" s="433" t="s">
        <v>61</v>
      </c>
      <c r="C313" s="438" t="str">
        <f>VLOOKUP(Table2[[#This Row],[Course Title]],'TSD-Data'!$A$1:$E$56,2,FALSE)</f>
        <v>A-493-0078</v>
      </c>
      <c r="D313" s="438">
        <f>VLOOKUP(Table2[[#This Row],[Course Title]],'TSD-Data'!$A$1:$E$56,3,FALSE)</f>
        <v>1228</v>
      </c>
      <c r="E313" s="433" t="s">
        <v>86</v>
      </c>
      <c r="F313" s="418">
        <v>45796</v>
      </c>
      <c r="G313" s="418">
        <v>45799</v>
      </c>
      <c r="H313" s="418"/>
      <c r="I313" s="443">
        <v>0.5</v>
      </c>
      <c r="J313" s="443">
        <v>0.375</v>
      </c>
      <c r="K313" s="443">
        <v>0.79166666666666663</v>
      </c>
      <c r="L313" s="443">
        <v>0.75</v>
      </c>
      <c r="M313" s="443">
        <v>0.25</v>
      </c>
      <c r="N313" s="443">
        <v>4.1666666666666664E-2</v>
      </c>
      <c r="O313" s="437" t="s">
        <v>304</v>
      </c>
      <c r="P313" s="437"/>
      <c r="Q313" s="365"/>
      <c r="R313" s="439">
        <f>VLOOKUP(Table2[[#This Row],[Course Title]],'TSD-Data'!$A$1:$E$56,4,FALSE)</f>
        <v>45</v>
      </c>
      <c r="S313" s="439">
        <f>VLOOKUP(Table2[[#This Row],[Course Title]],'TSD-Data'!$A$1:$F$53,6,FALSE)</f>
        <v>32</v>
      </c>
      <c r="T313" s="439">
        <f>VLOOKUP(Table2[[#This Row],[Course Title]],'TSD-Data'!$A$1:$E$56,5,FALSE)</f>
        <v>4</v>
      </c>
      <c r="U313" s="439">
        <v>840</v>
      </c>
      <c r="V313" s="439">
        <f>Table2[[#This Row],[Quotas]]-Table2[[#This Row],[Open Quotas]]</f>
        <v>28</v>
      </c>
      <c r="W313" s="439">
        <v>0</v>
      </c>
      <c r="X313" s="439"/>
      <c r="Y313" s="440"/>
      <c r="Z313" s="439"/>
      <c r="AA313" s="439"/>
      <c r="AB313" s="439"/>
      <c r="AC313" s="439"/>
      <c r="AD313" s="440">
        <f ca="1">Table2[[#This Row],[End Date]]+2-TODAY()</f>
        <v>24</v>
      </c>
      <c r="AE313" s="439">
        <f>IF(ISBLANK(Table2[[#This Row],[Received by]]),1,0)</f>
        <v>1</v>
      </c>
      <c r="AF313" s="439">
        <f ca="1">IF(Table2[[#This Row],[Start Date]]&gt;TODAY(),1,)</f>
        <v>1</v>
      </c>
      <c r="AG313" s="439">
        <f>IF(ISBLANK(Table2[[#This Row],[Primary Instructor]]),0,1)</f>
        <v>1</v>
      </c>
      <c r="AH313" s="439">
        <f>IF(ISBLANK(Table2[[#This Row],[Instructor 2]]),0,1)</f>
        <v>0</v>
      </c>
      <c r="AI313" s="439">
        <f>Table2[[#This Row],[Course Length (Hours)]]/(SUM(Table2[[#This Row],[1]:[2]]))</f>
        <v>32</v>
      </c>
      <c r="AJ313" s="439">
        <v>17</v>
      </c>
      <c r="AK313" s="439">
        <v>3</v>
      </c>
    </row>
    <row r="314" spans="1:37" s="408" customFormat="1" x14ac:dyDescent="0.25">
      <c r="A314" s="438"/>
      <c r="B314" s="433" t="s">
        <v>39</v>
      </c>
      <c r="C314" s="438" t="str">
        <f>VLOOKUP(Table2[[#This Row],[Course Title]],'TSD-Data'!$A$1:$E$56,2,FALSE)</f>
        <v>A-570-0100</v>
      </c>
      <c r="D314" s="438" t="str">
        <f>VLOOKUP(Table2[[#This Row],[Course Title]],'TSD-Data'!$A$1:$E$56,3,FALSE)</f>
        <v>18B7</v>
      </c>
      <c r="E314" s="433" t="s">
        <v>86</v>
      </c>
      <c r="F314" s="418">
        <v>45796</v>
      </c>
      <c r="G314" s="418">
        <v>45797</v>
      </c>
      <c r="H314" s="417"/>
      <c r="I314" s="417">
        <v>0.33333333333333331</v>
      </c>
      <c r="J314" s="417">
        <v>0.20833333333333334</v>
      </c>
      <c r="K314" s="417">
        <v>0.625</v>
      </c>
      <c r="L314" s="417">
        <v>0.54166666666666663</v>
      </c>
      <c r="M314" s="417">
        <v>8.3333333333333329E-2</v>
      </c>
      <c r="N314" s="417">
        <v>0.875</v>
      </c>
      <c r="O314" s="437" t="s">
        <v>288</v>
      </c>
      <c r="P314" s="437"/>
      <c r="Q314" s="365"/>
      <c r="R314" s="439">
        <f>VLOOKUP(Table2[[#This Row],[Course Title]],'TSD-Data'!$A$1:$E$56,4,FALSE)</f>
        <v>45</v>
      </c>
      <c r="S314" s="439">
        <f>VLOOKUP(Table2[[#This Row],[Course Title]],'TSD-Data'!$A$1:$F$53,6,FALSE)</f>
        <v>16</v>
      </c>
      <c r="T314" s="439">
        <f>VLOOKUP(Table2[[#This Row],[Course Title]],'TSD-Data'!$A$1:$E$56,5,FALSE)</f>
        <v>2</v>
      </c>
      <c r="U314" s="439">
        <v>404</v>
      </c>
      <c r="V314" s="439">
        <f>Table2[[#This Row],[Quotas]]-Table2[[#This Row],[Open Quotas]]</f>
        <v>23</v>
      </c>
      <c r="W314" s="439">
        <v>0</v>
      </c>
      <c r="X314" s="444"/>
      <c r="Y314" s="444"/>
      <c r="Z314" s="438"/>
      <c r="AA314" s="438"/>
      <c r="AB314" s="444"/>
      <c r="AC314" s="439"/>
      <c r="AD314" s="440">
        <f ca="1">Table2[[#This Row],[End Date]]+2-TODAY()</f>
        <v>22</v>
      </c>
      <c r="AE314" s="439">
        <f>IF(ISBLANK(Table2[[#This Row],[Received by]]),1,0)</f>
        <v>1</v>
      </c>
      <c r="AF314" s="439">
        <f ca="1">IF(Table2[[#This Row],[Start Date]]&gt;TODAY(),1,)</f>
        <v>1</v>
      </c>
      <c r="AG314" s="439">
        <f>IF(ISBLANK(Table2[[#This Row],[Primary Instructor]]),0,1)</f>
        <v>1</v>
      </c>
      <c r="AH314" s="439">
        <f>IF(ISBLANK(Table2[[#This Row],[Instructor 2]]),0,1)</f>
        <v>0</v>
      </c>
      <c r="AI314" s="439">
        <f>Table2[[#This Row],[Course Length (Hours)]]/(SUM(Table2[[#This Row],[1]:[2]]))</f>
        <v>16</v>
      </c>
      <c r="AJ314" s="439">
        <v>22</v>
      </c>
      <c r="AK314" s="439">
        <v>3</v>
      </c>
    </row>
    <row r="315" spans="1:37" s="408" customFormat="1" x14ac:dyDescent="0.25">
      <c r="A315" s="437"/>
      <c r="B315" s="433" t="s">
        <v>53</v>
      </c>
      <c r="C315" s="438" t="str">
        <f>VLOOKUP(Table2[[#This Row],[Course Title]],'TSD-Data'!$A$1:$E$56,2,FALSE)</f>
        <v>A-493-0072</v>
      </c>
      <c r="D315" s="438" t="str">
        <f>VLOOKUP(Table2[[#This Row],[Course Title]],'TSD-Data'!$A$1:$E$56,3,FALSE)</f>
        <v>713U</v>
      </c>
      <c r="E315" s="450" t="s">
        <v>184</v>
      </c>
      <c r="F315" s="452">
        <v>45796</v>
      </c>
      <c r="G315" s="452">
        <v>45800</v>
      </c>
      <c r="H315" s="417">
        <v>0.33333333333333331</v>
      </c>
      <c r="I315" s="443"/>
      <c r="J315" s="418"/>
      <c r="K315" s="418"/>
      <c r="L315" s="418"/>
      <c r="M315" s="418"/>
      <c r="N315" s="418"/>
      <c r="O315" s="437" t="s">
        <v>315</v>
      </c>
      <c r="P315" s="437" t="s">
        <v>278</v>
      </c>
      <c r="Q315" s="365"/>
      <c r="R315" s="439">
        <f>VLOOKUP(Table2[[#This Row],[Course Title]],'TSD-Data'!$A$1:$E$56,4,FALSE)</f>
        <v>30</v>
      </c>
      <c r="S315" s="439">
        <f>VLOOKUP(Table2[[#This Row],[Course Title]],'TSD-Data'!$A$1:$F$53,6,FALSE)</f>
        <v>40</v>
      </c>
      <c r="T315" s="439">
        <f>VLOOKUP(Table2[[#This Row],[Course Title]],'TSD-Data'!$A$1:$E$56,5,FALSE)</f>
        <v>5</v>
      </c>
      <c r="U315" s="439">
        <v>29</v>
      </c>
      <c r="V315" s="439">
        <f>Table2[[#This Row],[Quotas]]-Table2[[#This Row],[Open Quotas]]</f>
        <v>21</v>
      </c>
      <c r="W315" s="439">
        <v>0</v>
      </c>
      <c r="X315" s="439"/>
      <c r="Y315" s="440"/>
      <c r="Z315" s="439"/>
      <c r="AA315" s="439"/>
      <c r="AB315" s="439"/>
      <c r="AC315" s="439"/>
      <c r="AD315" s="440">
        <f ca="1">Table2[[#This Row],[End Date]]+2-TODAY()</f>
        <v>25</v>
      </c>
      <c r="AE315" s="439">
        <f>IF(ISBLANK(Table2[[#This Row],[Received by]]),1,0)</f>
        <v>1</v>
      </c>
      <c r="AF315" s="439">
        <f ca="1">IF(Table2[[#This Row],[Start Date]]&gt;TODAY(),1,)</f>
        <v>1</v>
      </c>
      <c r="AG315" s="439">
        <f>IF(ISBLANK(Table2[[#This Row],[Primary Instructor]]),0,1)</f>
        <v>1</v>
      </c>
      <c r="AH315" s="439">
        <f>IF(ISBLANK(Table2[[#This Row],[Instructor 2]]),0,1)</f>
        <v>1</v>
      </c>
      <c r="AI315" s="439">
        <f>Table2[[#This Row],[Course Length (Hours)]]/(SUM(Table2[[#This Row],[1]:[2]]))</f>
        <v>20</v>
      </c>
      <c r="AJ315" s="439">
        <v>9</v>
      </c>
      <c r="AK315" s="439">
        <v>3</v>
      </c>
    </row>
    <row r="316" spans="1:37" s="408" customFormat="1" x14ac:dyDescent="0.25">
      <c r="A316" s="433" t="s">
        <v>442</v>
      </c>
      <c r="B316" s="433" t="s">
        <v>223</v>
      </c>
      <c r="C316" s="438" t="str">
        <f>VLOOKUP(Table2[[#This Row],[Course Title]],'TSD-Data'!$A$1:$E$56,2,FALSE)</f>
        <v>Holiday</v>
      </c>
      <c r="D316" s="438" t="str">
        <f>VLOOKUP(Table2[[#This Row],[Course Title]],'TSD-Data'!$A$1:$E$56,3,FALSE)</f>
        <v>Holiday</v>
      </c>
      <c r="E316" s="433" t="s">
        <v>223</v>
      </c>
      <c r="F316" s="418">
        <v>45803</v>
      </c>
      <c r="G316" s="418">
        <v>45803</v>
      </c>
      <c r="H316" s="417"/>
      <c r="I316" s="417"/>
      <c r="J316" s="418"/>
      <c r="K316" s="418"/>
      <c r="L316" s="418"/>
      <c r="M316" s="418"/>
      <c r="N316" s="418"/>
      <c r="O316" s="437"/>
      <c r="P316" s="437"/>
      <c r="Q316" s="365"/>
      <c r="R316" s="439">
        <f>VLOOKUP(Table2[[#This Row],[Course Title]],'TSD-Data'!$A$1:$E$56,4,FALSE)</f>
        <v>0</v>
      </c>
      <c r="S316" s="439">
        <f>VLOOKUP(Table2[[#This Row],[Course Title]],'TSD-Data'!$A$1:$F$53,6,FALSE)</f>
        <v>0</v>
      </c>
      <c r="T316" s="439">
        <f>VLOOKUP(Table2[[#This Row],[Course Title]],'TSD-Data'!$A$1:$E$56,5,FALSE)</f>
        <v>0</v>
      </c>
      <c r="U316" s="439">
        <v>0</v>
      </c>
      <c r="V316" s="439">
        <f>Table2[[#This Row],[Quotas]]-Table2[[#This Row],[Open Quotas]]</f>
        <v>0</v>
      </c>
      <c r="W316" s="439">
        <v>0</v>
      </c>
      <c r="X316" s="439">
        <v>0</v>
      </c>
      <c r="Y316" s="439">
        <v>0</v>
      </c>
      <c r="Z316" s="439">
        <v>0</v>
      </c>
      <c r="AA316" s="439">
        <v>0</v>
      </c>
      <c r="AB316" s="439">
        <v>0</v>
      </c>
      <c r="AC316" s="439" t="s">
        <v>285</v>
      </c>
      <c r="AD316" s="440">
        <f ca="1">Table2[[#This Row],[End Date]]+2-TODAY()</f>
        <v>28</v>
      </c>
      <c r="AE316" s="439">
        <f>IF(ISBLANK(Table2[[#This Row],[Received by]]),1,0)</f>
        <v>0</v>
      </c>
      <c r="AF316" s="439">
        <f ca="1">IF(Table2[[#This Row],[Start Date]]&gt;TODAY(),1,)</f>
        <v>1</v>
      </c>
      <c r="AG316" s="439">
        <f>IF(ISBLANK(Table2[[#This Row],[Primary Instructor]]),0,1)</f>
        <v>0</v>
      </c>
      <c r="AH316" s="439">
        <f>IF(ISBLANK(Table2[[#This Row],[Instructor 2]]),0,1)</f>
        <v>0</v>
      </c>
      <c r="AI316" s="439" t="e">
        <f>Table2[[#This Row],[Course Length (Hours)]]/(SUM(Table2[[#This Row],[1]:[2]]))</f>
        <v>#DIV/0!</v>
      </c>
      <c r="AJ316" s="439"/>
      <c r="AK316" s="441"/>
    </row>
    <row r="317" spans="1:37" s="408" customFormat="1" x14ac:dyDescent="0.25">
      <c r="A317" s="437"/>
      <c r="B317" s="433" t="s">
        <v>57</v>
      </c>
      <c r="C317" s="438" t="str">
        <f>VLOOKUP(Table2[[#This Row],[Course Title]],'TSD-Data'!$A$1:$E$56,2,FALSE)</f>
        <v>A-493-0099</v>
      </c>
      <c r="D317" s="438" t="str">
        <f>VLOOKUP(Table2[[#This Row],[Course Title]],'TSD-Data'!$A$1:$E$56,3,FALSE)</f>
        <v>12JW</v>
      </c>
      <c r="E317" s="426" t="s">
        <v>86</v>
      </c>
      <c r="F317" s="428">
        <v>45804</v>
      </c>
      <c r="G317" s="428">
        <v>45806</v>
      </c>
      <c r="H317" s="432"/>
      <c r="I317" s="443">
        <v>0.5</v>
      </c>
      <c r="J317" s="443">
        <v>0.375</v>
      </c>
      <c r="K317" s="443">
        <v>0.79166666666666663</v>
      </c>
      <c r="L317" s="443">
        <v>0.75</v>
      </c>
      <c r="M317" s="443">
        <v>0.25</v>
      </c>
      <c r="N317" s="443">
        <v>4.1666666666666664E-2</v>
      </c>
      <c r="O317" s="437" t="s">
        <v>305</v>
      </c>
      <c r="P317" s="437"/>
      <c r="Q317" s="365"/>
      <c r="R317" s="440">
        <f>VLOOKUP(Table2[[#This Row],[Course Title]],'TSD-Data'!$A$1:$E$56,4,FALSE)</f>
        <v>45</v>
      </c>
      <c r="S317" s="439">
        <f>VLOOKUP(Table2[[#This Row],[Course Title]],'TSD-Data'!$A$1:$F$53,6,FALSE)</f>
        <v>24</v>
      </c>
      <c r="T317" s="439">
        <f>VLOOKUP(Table2[[#This Row],[Course Title]],'TSD-Data'!$A$1:$E$56,5,FALSE)</f>
        <v>3</v>
      </c>
      <c r="U317" s="439">
        <v>718</v>
      </c>
      <c r="V317" s="439">
        <f>Table2[[#This Row],[Quotas]]-Table2[[#This Row],[Open Quotas]]</f>
        <v>21</v>
      </c>
      <c r="W317" s="439">
        <v>0</v>
      </c>
      <c r="X317" s="440"/>
      <c r="Y317" s="440"/>
      <c r="Z317" s="439"/>
      <c r="AA317" s="439"/>
      <c r="AB317" s="439"/>
      <c r="AC317" s="439"/>
      <c r="AD317" s="440">
        <f ca="1">Table2[[#This Row],[End Date]]+2-TODAY()</f>
        <v>31</v>
      </c>
      <c r="AE317" s="439">
        <f>IF(ISBLANK(Table2[[#This Row],[Received by]]),1,0)</f>
        <v>1</v>
      </c>
      <c r="AF317" s="439">
        <f ca="1">IF(Table2[[#This Row],[Start Date]]&gt;TODAY(),1,)</f>
        <v>1</v>
      </c>
      <c r="AG317" s="439">
        <f>IF(ISBLANK(Table2[[#This Row],[Primary Instructor]]),0,1)</f>
        <v>1</v>
      </c>
      <c r="AH317" s="439">
        <f>IF(ISBLANK(Table2[[#This Row],[Instructor 2]]),0,1)</f>
        <v>0</v>
      </c>
      <c r="AI317" s="439">
        <f>Table2[[#This Row],[Course Length (Hours)]]/(SUM(Table2[[#This Row],[1]:[2]]))</f>
        <v>24</v>
      </c>
      <c r="AJ317" s="439">
        <v>24</v>
      </c>
      <c r="AK317" s="439">
        <v>3</v>
      </c>
    </row>
    <row r="318" spans="1:37" s="408" customFormat="1" x14ac:dyDescent="0.25">
      <c r="A318" s="437"/>
      <c r="B318" s="433" t="s">
        <v>50</v>
      </c>
      <c r="C318" s="438" t="str">
        <f>VLOOKUP(Table2[[#This Row],[Course Title]],'TSD-Data'!$A$1:$E$56,2,FALSE)</f>
        <v>A-493-0331</v>
      </c>
      <c r="D318" s="438" t="str">
        <f>VLOOKUP(Table2[[#This Row],[Course Title]],'TSD-Data'!$A$1:$E$56,3,FALSE)</f>
        <v>10UG</v>
      </c>
      <c r="E318" s="426" t="s">
        <v>86</v>
      </c>
      <c r="F318" s="428">
        <v>45804</v>
      </c>
      <c r="G318" s="428">
        <v>45806</v>
      </c>
      <c r="H318" s="417"/>
      <c r="I318" s="443">
        <v>0.5</v>
      </c>
      <c r="J318" s="443">
        <v>0.375</v>
      </c>
      <c r="K318" s="443">
        <v>0.79166666666666663</v>
      </c>
      <c r="L318" s="443">
        <v>0.75</v>
      </c>
      <c r="M318" s="443">
        <v>0.25</v>
      </c>
      <c r="N318" s="443">
        <v>4.1666666666666664E-2</v>
      </c>
      <c r="O318" s="437" t="s">
        <v>318</v>
      </c>
      <c r="P318" s="437"/>
      <c r="Q318" s="365"/>
      <c r="R318" s="439">
        <f>VLOOKUP(Table2[[#This Row],[Course Title]],'TSD-Data'!$A$1:$E$56,4,FALSE)</f>
        <v>45</v>
      </c>
      <c r="S318" s="439">
        <f>VLOOKUP(Table2[[#This Row],[Course Title]],'TSD-Data'!$A$1:$F$53,6,FALSE)</f>
        <v>24</v>
      </c>
      <c r="T318" s="439">
        <f>VLOOKUP(Table2[[#This Row],[Course Title]],'TSD-Data'!$A$1:$E$56,5,FALSE)</f>
        <v>3</v>
      </c>
      <c r="U318" s="439">
        <v>805</v>
      </c>
      <c r="V318" s="439">
        <f>Table2[[#This Row],[Quotas]]-Table2[[#This Row],[Open Quotas]]</f>
        <v>45</v>
      </c>
      <c r="W318" s="439">
        <v>5</v>
      </c>
      <c r="X318" s="439"/>
      <c r="Y318" s="440"/>
      <c r="Z318" s="439"/>
      <c r="AA318" s="439"/>
      <c r="AB318" s="439"/>
      <c r="AC318" s="439"/>
      <c r="AD318" s="440">
        <f ca="1">Table2[[#This Row],[End Date]]+2-TODAY()</f>
        <v>31</v>
      </c>
      <c r="AE318" s="439">
        <f>IF(ISBLANK(Table2[[#This Row],[Received by]]),1,0)</f>
        <v>1</v>
      </c>
      <c r="AF318" s="439">
        <f ca="1">IF(Table2[[#This Row],[Start Date]]&gt;TODAY(),1,)</f>
        <v>1</v>
      </c>
      <c r="AG318" s="439">
        <f>IF(ISBLANK(Table2[[#This Row],[Primary Instructor]]),0,1)</f>
        <v>1</v>
      </c>
      <c r="AH318" s="439">
        <f>IF(ISBLANK(Table2[[#This Row],[Instructor 2]]),0,1)</f>
        <v>0</v>
      </c>
      <c r="AI318" s="439">
        <f>Table2[[#This Row],[Course Length (Hours)]]/(SUM(Table2[[#This Row],[1]:[2]]))</f>
        <v>24</v>
      </c>
      <c r="AJ318" s="439">
        <v>0</v>
      </c>
      <c r="AK318" s="439">
        <v>3</v>
      </c>
    </row>
    <row r="319" spans="1:37" s="408" customFormat="1" x14ac:dyDescent="0.25">
      <c r="A319" s="437"/>
      <c r="B319" s="433" t="s">
        <v>59</v>
      </c>
      <c r="C319" s="438" t="str">
        <f>VLOOKUP(Table2[[#This Row],[Course Title]],'TSD-Data'!$A$1:$E$56,2,FALSE)</f>
        <v>A-493-0550</v>
      </c>
      <c r="D319" s="438" t="str">
        <f>VLOOKUP(Table2[[#This Row],[Course Title]],'TSD-Data'!$A$1:$E$56,3,FALSE)</f>
        <v>09K5</v>
      </c>
      <c r="E319" s="455" t="s">
        <v>86</v>
      </c>
      <c r="F319" s="451">
        <v>45804</v>
      </c>
      <c r="G319" s="428">
        <v>45807</v>
      </c>
      <c r="H319" s="418"/>
      <c r="I319" s="443">
        <v>0.5</v>
      </c>
      <c r="J319" s="443">
        <v>0.375</v>
      </c>
      <c r="K319" s="443">
        <v>0.79166666666666663</v>
      </c>
      <c r="L319" s="443">
        <v>0.75</v>
      </c>
      <c r="M319" s="443">
        <v>0.25</v>
      </c>
      <c r="N319" s="443">
        <v>4.1666666666666664E-2</v>
      </c>
      <c r="O319" s="437" t="s">
        <v>301</v>
      </c>
      <c r="P319" s="437"/>
      <c r="Q319" s="365"/>
      <c r="R319" s="439">
        <f>VLOOKUP(Table2[[#This Row],[Course Title]],'TSD-Data'!$A$1:$E$56,4,FALSE)</f>
        <v>45</v>
      </c>
      <c r="S319" s="439">
        <f>VLOOKUP(Table2[[#This Row],[Course Title]],'TSD-Data'!$A$1:$F$53,6,FALSE)</f>
        <v>32</v>
      </c>
      <c r="T319" s="439">
        <f>VLOOKUP(Table2[[#This Row],[Course Title]],'TSD-Data'!$A$1:$E$56,5,FALSE)</f>
        <v>4</v>
      </c>
      <c r="U319" s="439">
        <v>949</v>
      </c>
      <c r="V319" s="439">
        <f>Table2[[#This Row],[Quotas]]-Table2[[#This Row],[Open Quotas]]</f>
        <v>44</v>
      </c>
      <c r="W319" s="439">
        <v>0</v>
      </c>
      <c r="X319" s="439"/>
      <c r="Y319" s="440"/>
      <c r="Z319" s="439"/>
      <c r="AA319" s="439"/>
      <c r="AB319" s="439"/>
      <c r="AC319" s="439"/>
      <c r="AD319" s="440">
        <f ca="1">Table2[[#This Row],[End Date]]+2-TODAY()</f>
        <v>32</v>
      </c>
      <c r="AE319" s="439">
        <f>IF(ISBLANK(Table2[[#This Row],[Received by]]),1,0)</f>
        <v>1</v>
      </c>
      <c r="AF319" s="439">
        <f ca="1">IF(Table2[[#This Row],[Start Date]]&gt;TODAY(),1,)</f>
        <v>1</v>
      </c>
      <c r="AG319" s="439">
        <f>IF(ISBLANK(Table2[[#This Row],[Primary Instructor]]),0,1)</f>
        <v>1</v>
      </c>
      <c r="AH319" s="439">
        <f>IF(ISBLANK(Table2[[#This Row],[Instructor 2]]),0,1)</f>
        <v>0</v>
      </c>
      <c r="AI319" s="439">
        <f>Table2[[#This Row],[Course Length (Hours)]]/(SUM(Table2[[#This Row],[1]:[2]]))</f>
        <v>32</v>
      </c>
      <c r="AJ319" s="439">
        <v>1</v>
      </c>
      <c r="AK319" s="439">
        <v>3</v>
      </c>
    </row>
    <row r="320" spans="1:37" s="408" customFormat="1" x14ac:dyDescent="0.25">
      <c r="A320" s="437"/>
      <c r="B320" s="433" t="s">
        <v>52</v>
      </c>
      <c r="C320" s="438" t="str">
        <f>VLOOKUP(Table2[[#This Row],[Course Title]],'TSD-Data'!$A$1:$E$56,2,FALSE)</f>
        <v>A-493-0085</v>
      </c>
      <c r="D320" s="438">
        <f>VLOOKUP(Table2[[#This Row],[Course Title]],'TSD-Data'!$A$1:$E$56,3,FALSE)</f>
        <v>3555</v>
      </c>
      <c r="E320" s="455" t="s">
        <v>86</v>
      </c>
      <c r="F320" s="428">
        <v>45804</v>
      </c>
      <c r="G320" s="428">
        <v>45807</v>
      </c>
      <c r="H320" s="432"/>
      <c r="I320" s="443">
        <v>0.5</v>
      </c>
      <c r="J320" s="443">
        <v>0.375</v>
      </c>
      <c r="K320" s="443">
        <v>0.79166666666666663</v>
      </c>
      <c r="L320" s="443">
        <v>0.75</v>
      </c>
      <c r="M320" s="443">
        <v>0.25</v>
      </c>
      <c r="N320" s="443">
        <v>4.1666666666666664E-2</v>
      </c>
      <c r="O320" s="437" t="s">
        <v>316</v>
      </c>
      <c r="P320" s="437"/>
      <c r="Q320" s="365"/>
      <c r="R320" s="439">
        <f>VLOOKUP(Table2[[#This Row],[Course Title]],'TSD-Data'!$A$1:$E$56,4,FALSE)</f>
        <v>45</v>
      </c>
      <c r="S320" s="439">
        <f>VLOOKUP(Table2[[#This Row],[Course Title]],'TSD-Data'!$A$1:$F$53,6,FALSE)</f>
        <v>32</v>
      </c>
      <c r="T320" s="439">
        <f>VLOOKUP(Table2[[#This Row],[Course Title]],'TSD-Data'!$A$1:$E$56,5,FALSE)</f>
        <v>4</v>
      </c>
      <c r="U320" s="439">
        <v>503</v>
      </c>
      <c r="V320" s="439">
        <f>Table2[[#This Row],[Quotas]]-Table2[[#This Row],[Open Quotas]]</f>
        <v>16</v>
      </c>
      <c r="W320" s="439">
        <v>0</v>
      </c>
      <c r="X320" s="439"/>
      <c r="Y320" s="440"/>
      <c r="Z320" s="439"/>
      <c r="AA320" s="439"/>
      <c r="AB320" s="439"/>
      <c r="AC320" s="439"/>
      <c r="AD320" s="440">
        <f ca="1">Table2[[#This Row],[End Date]]+2-TODAY()</f>
        <v>32</v>
      </c>
      <c r="AE320" s="439">
        <f>IF(ISBLANK(Table2[[#This Row],[Received by]]),1,0)</f>
        <v>1</v>
      </c>
      <c r="AF320" s="439">
        <f ca="1">IF(Table2[[#This Row],[Start Date]]&gt;TODAY(),1,)</f>
        <v>1</v>
      </c>
      <c r="AG320" s="439">
        <f>IF(ISBLANK(Table2[[#This Row],[Primary Instructor]]),0,1)</f>
        <v>1</v>
      </c>
      <c r="AH320" s="439">
        <f>IF(ISBLANK(Table2[[#This Row],[Instructor 2]]),0,1)</f>
        <v>0</v>
      </c>
      <c r="AI320" s="439">
        <f>Table2[[#This Row],[Course Length (Hours)]]/(SUM(Table2[[#This Row],[1]:[2]]))</f>
        <v>32</v>
      </c>
      <c r="AJ320" s="439">
        <v>29</v>
      </c>
      <c r="AK320" s="439">
        <v>3</v>
      </c>
    </row>
    <row r="321" spans="1:37" s="408" customFormat="1" x14ac:dyDescent="0.25">
      <c r="A321" s="429"/>
      <c r="B321" s="433" t="s">
        <v>55</v>
      </c>
      <c r="C321" s="427" t="str">
        <f>VLOOKUP(Table2[[#This Row],[Course Title]],'TSD-Data'!$A$1:$E$56,2,FALSE)</f>
        <v>A-493-0103</v>
      </c>
      <c r="D321" s="427" t="str">
        <f>VLOOKUP(Table2[[#This Row],[Course Title]],'TSD-Data'!$A$1:$E$56,3,FALSE)</f>
        <v>12JY</v>
      </c>
      <c r="E321" s="455" t="s">
        <v>157</v>
      </c>
      <c r="F321" s="428">
        <v>45810</v>
      </c>
      <c r="G321" s="428">
        <v>45814</v>
      </c>
      <c r="H321" s="422">
        <v>0.33333333333333331</v>
      </c>
      <c r="I321" s="422"/>
      <c r="J321" s="422"/>
      <c r="K321" s="422"/>
      <c r="L321" s="422"/>
      <c r="M321" s="422"/>
      <c r="N321" s="420"/>
      <c r="O321" s="429" t="s">
        <v>314</v>
      </c>
      <c r="P321" s="429"/>
      <c r="Q321" s="365"/>
      <c r="R321" s="414">
        <f>VLOOKUP(Table2[[#This Row],[Course Title]],'TSD-Data'!$A$1:$E$56,4,FALSE)</f>
        <v>25</v>
      </c>
      <c r="S321" s="414">
        <f>VLOOKUP(Table2[[#This Row],[Course Title]],'TSD-Data'!$A$1:$F$53,6,FALSE)</f>
        <v>40</v>
      </c>
      <c r="T321" s="414">
        <f>VLOOKUP(Table2[[#This Row],[Course Title]],'TSD-Data'!$A$1:$E$56,5,FALSE)</f>
        <v>5</v>
      </c>
      <c r="U321" s="414">
        <v>19</v>
      </c>
      <c r="V321" s="414">
        <f>Table2[[#This Row],[Quotas]]-Table2[[#This Row],[Open Quotas]]</f>
        <v>25</v>
      </c>
      <c r="W321" s="414">
        <v>0</v>
      </c>
      <c r="X321" s="414"/>
      <c r="Y321" s="419"/>
      <c r="Z321" s="414"/>
      <c r="AA321" s="414"/>
      <c r="AB321" s="414"/>
      <c r="AC321" s="414"/>
      <c r="AD321" s="419">
        <f ca="1">Table2[[#This Row],[End Date]]+2-TODAY()</f>
        <v>39</v>
      </c>
      <c r="AE321" s="414">
        <f>IF(ISBLANK(Table2[[#This Row],[Received by]]),1,0)</f>
        <v>1</v>
      </c>
      <c r="AF321" s="414">
        <f ca="1">IF(Table2[[#This Row],[Start Date]]&gt;TODAY(),1,)</f>
        <v>1</v>
      </c>
      <c r="AG321" s="414">
        <f>IF(ISBLANK(Table2[[#This Row],[Primary Instructor]]),0,1)</f>
        <v>1</v>
      </c>
      <c r="AH321" s="414">
        <f>IF(ISBLANK(Table2[[#This Row],[Instructor 2]]),0,1)</f>
        <v>0</v>
      </c>
      <c r="AI321" s="414">
        <f>Table2[[#This Row],[Course Length (Hours)]]/(SUM(Table2[[#This Row],[1]:[2]]))</f>
        <v>40</v>
      </c>
      <c r="AJ321" s="414">
        <v>0</v>
      </c>
      <c r="AK321" s="414">
        <v>3</v>
      </c>
    </row>
    <row r="322" spans="1:37" s="408" customFormat="1" x14ac:dyDescent="0.25">
      <c r="A322" s="429"/>
      <c r="B322" s="433" t="s">
        <v>56</v>
      </c>
      <c r="C322" s="427" t="str">
        <f>VLOOKUP(Table2[[#This Row],[Course Title]],'TSD-Data'!$A$1:$E$56,2,FALSE)</f>
        <v>A-493-0021</v>
      </c>
      <c r="D322" s="427" t="str">
        <f>VLOOKUP(Table2[[#This Row],[Course Title]],'TSD-Data'!$A$1:$E$56,3,FALSE)</f>
        <v>18BN</v>
      </c>
      <c r="E322" s="517" t="s">
        <v>205</v>
      </c>
      <c r="F322" s="452">
        <v>45810</v>
      </c>
      <c r="G322" s="452">
        <v>45814</v>
      </c>
      <c r="H322" s="417">
        <v>0.33333333333333331</v>
      </c>
      <c r="I322" s="443"/>
      <c r="J322" s="420"/>
      <c r="K322" s="418"/>
      <c r="L322" s="418"/>
      <c r="M322" s="420"/>
      <c r="N322" s="418"/>
      <c r="O322" s="437" t="s">
        <v>314</v>
      </c>
      <c r="P322" s="429"/>
      <c r="Q322" s="365"/>
      <c r="R322" s="414">
        <f>VLOOKUP(Table2[[#This Row],[Course Title]],'TSD-Data'!$A$1:$E$56,4,FALSE)</f>
        <v>35</v>
      </c>
      <c r="S322" s="414">
        <f>VLOOKUP(Table2[[#This Row],[Course Title]],'TSD-Data'!$A$1:$F$53,6,FALSE)</f>
        <v>30</v>
      </c>
      <c r="T322" s="414">
        <f>VLOOKUP(Table2[[#This Row],[Course Title]],'TSD-Data'!$A$1:$E$56,5,FALSE)</f>
        <v>5</v>
      </c>
      <c r="U322" s="414">
        <v>58</v>
      </c>
      <c r="V322" s="414">
        <f>Table2[[#This Row],[Quotas]]-Table2[[#This Row],[Open Quotas]]</f>
        <v>17</v>
      </c>
      <c r="W322" s="414">
        <v>0</v>
      </c>
      <c r="X322" s="414"/>
      <c r="Y322" s="419"/>
      <c r="Z322" s="414"/>
      <c r="AA322" s="414"/>
      <c r="AB322" s="419"/>
      <c r="AC322" s="414"/>
      <c r="AD322" s="419">
        <f ca="1">Table2[[#This Row],[End Date]]+2-TODAY()</f>
        <v>39</v>
      </c>
      <c r="AE322" s="414">
        <f>IF(ISBLANK(Table2[[#This Row],[Received by]]),1,0)</f>
        <v>1</v>
      </c>
      <c r="AF322" s="414">
        <f ca="1">IF(Table2[[#This Row],[Start Date]]&gt;TODAY(),1,)</f>
        <v>1</v>
      </c>
      <c r="AG322" s="414">
        <f>IF(ISBLANK(Table2[[#This Row],[Primary Instructor]]),0,1)</f>
        <v>1</v>
      </c>
      <c r="AH322" s="414">
        <f>IF(ISBLANK(Table2[[#This Row],[Instructor 2]]),0,1)</f>
        <v>0</v>
      </c>
      <c r="AI322" s="414">
        <f>Table2[[#This Row],[Course Length (Hours)]]/(SUM(Table2[[#This Row],[1]:[2]]))</f>
        <v>30</v>
      </c>
      <c r="AJ322" s="414">
        <v>18</v>
      </c>
      <c r="AK322" s="414">
        <v>3</v>
      </c>
    </row>
    <row r="323" spans="1:37" s="373" customFormat="1" x14ac:dyDescent="0.25">
      <c r="A323" s="437"/>
      <c r="B323" s="433" t="s">
        <v>51</v>
      </c>
      <c r="C323" s="438" t="str">
        <f>VLOOKUP(Table2[[#This Row],[Course Title]],'TSD-Data'!$A$1:$E$56,2,FALSE)</f>
        <v>A-493-0335</v>
      </c>
      <c r="D323" s="438" t="str">
        <f>VLOOKUP(Table2[[#This Row],[Course Title]],'TSD-Data'!$A$1:$E$56,3,FALSE)</f>
        <v>09ND</v>
      </c>
      <c r="E323" s="455" t="s">
        <v>86</v>
      </c>
      <c r="F323" s="418">
        <v>45810</v>
      </c>
      <c r="G323" s="418">
        <v>45813</v>
      </c>
      <c r="H323" s="418"/>
      <c r="I323" s="443">
        <v>0.5</v>
      </c>
      <c r="J323" s="443">
        <v>0.375</v>
      </c>
      <c r="K323" s="443">
        <v>0.79166666666666663</v>
      </c>
      <c r="L323" s="443">
        <v>0.75</v>
      </c>
      <c r="M323" s="443">
        <v>0.25</v>
      </c>
      <c r="N323" s="443">
        <v>4.1666666666666664E-2</v>
      </c>
      <c r="O323" s="437" t="s">
        <v>274</v>
      </c>
      <c r="P323" s="437"/>
      <c r="Q323" s="365"/>
      <c r="R323" s="439">
        <f>VLOOKUP(Table2[[#This Row],[Course Title]],'TSD-Data'!$A$1:$E$56,4,FALSE)</f>
        <v>45</v>
      </c>
      <c r="S323" s="439">
        <f>VLOOKUP(Table2[[#This Row],[Course Title]],'TSD-Data'!$A$1:$F$53,6,FALSE)</f>
        <v>32</v>
      </c>
      <c r="T323" s="439">
        <f>VLOOKUP(Table2[[#This Row],[Course Title]],'TSD-Data'!$A$1:$E$56,5,FALSE)</f>
        <v>4</v>
      </c>
      <c r="U323" s="439">
        <v>400</v>
      </c>
      <c r="V323" s="439">
        <f>Table2[[#This Row],[Quotas]]-Table2[[#This Row],[Open Quotas]]</f>
        <v>8</v>
      </c>
      <c r="W323" s="439">
        <v>0</v>
      </c>
      <c r="X323" s="439"/>
      <c r="Y323" s="440"/>
      <c r="Z323" s="439"/>
      <c r="AA323" s="439"/>
      <c r="AB323" s="439"/>
      <c r="AC323" s="439"/>
      <c r="AD323" s="440">
        <f ca="1">Table2[[#This Row],[End Date]]+2-TODAY()</f>
        <v>38</v>
      </c>
      <c r="AE323" s="439">
        <f>IF(ISBLANK(Table2[[#This Row],[Received by]]),1,0)</f>
        <v>1</v>
      </c>
      <c r="AF323" s="439">
        <f ca="1">IF(Table2[[#This Row],[Start Date]]&gt;TODAY(),1,)</f>
        <v>1</v>
      </c>
      <c r="AG323" s="439">
        <f>IF(ISBLANK(Table2[[#This Row],[Primary Instructor]]),0,1)</f>
        <v>1</v>
      </c>
      <c r="AH323" s="439">
        <f>IF(ISBLANK(Table2[[#This Row],[Instructor 2]]),0,1)</f>
        <v>0</v>
      </c>
      <c r="AI323" s="439">
        <f>Table2[[#This Row],[Course Length (Hours)]]/(SUM(Table2[[#This Row],[1]:[2]]))</f>
        <v>32</v>
      </c>
      <c r="AJ323" s="439">
        <v>37</v>
      </c>
      <c r="AK323" s="439">
        <v>3</v>
      </c>
    </row>
    <row r="324" spans="1:37" s="408" customFormat="1" x14ac:dyDescent="0.25">
      <c r="A324" s="437"/>
      <c r="B324" s="433" t="s">
        <v>59</v>
      </c>
      <c r="C324" s="438" t="str">
        <f>VLOOKUP(Table2[[#This Row],[Course Title]],'TSD-Data'!$A$1:$E$56,2,FALSE)</f>
        <v>A-493-0550</v>
      </c>
      <c r="D324" s="438" t="str">
        <f>VLOOKUP(Table2[[#This Row],[Course Title]],'TSD-Data'!$A$1:$E$56,3,FALSE)</f>
        <v>09K5</v>
      </c>
      <c r="E324" s="455" t="s">
        <v>86</v>
      </c>
      <c r="F324" s="418">
        <v>45810</v>
      </c>
      <c r="G324" s="418">
        <v>45813</v>
      </c>
      <c r="H324" s="417"/>
      <c r="I324" s="443">
        <v>0.29166666666666669</v>
      </c>
      <c r="J324" s="417">
        <v>0.16666666666666666</v>
      </c>
      <c r="K324" s="417">
        <v>0.58333333333333337</v>
      </c>
      <c r="L324" s="417">
        <v>0.5</v>
      </c>
      <c r="M324" s="417">
        <v>4.1666666666666664E-2</v>
      </c>
      <c r="N324" s="417">
        <v>0.83333333333333337</v>
      </c>
      <c r="O324" s="437" t="s">
        <v>301</v>
      </c>
      <c r="P324" s="437"/>
      <c r="Q324" s="365"/>
      <c r="R324" s="439">
        <f>VLOOKUP(Table2[[#This Row],[Course Title]],'TSD-Data'!$A$1:$E$56,4,FALSE)</f>
        <v>45</v>
      </c>
      <c r="S324" s="439">
        <f>VLOOKUP(Table2[[#This Row],[Course Title]],'TSD-Data'!$A$1:$F$53,6,FALSE)</f>
        <v>32</v>
      </c>
      <c r="T324" s="439">
        <f>VLOOKUP(Table2[[#This Row],[Course Title]],'TSD-Data'!$A$1:$E$56,5,FALSE)</f>
        <v>4</v>
      </c>
      <c r="U324" s="439">
        <v>380</v>
      </c>
      <c r="V324" s="439">
        <f>Table2[[#This Row],[Quotas]]-Table2[[#This Row],[Open Quotas]]</f>
        <v>43</v>
      </c>
      <c r="W324" s="439">
        <v>0</v>
      </c>
      <c r="X324" s="439"/>
      <c r="Y324" s="440"/>
      <c r="Z324" s="439"/>
      <c r="AA324" s="439"/>
      <c r="AB324" s="438"/>
      <c r="AC324" s="439"/>
      <c r="AD324" s="440">
        <f ca="1">Table2[[#This Row],[End Date]]+2-TODAY()</f>
        <v>38</v>
      </c>
      <c r="AE324" s="439">
        <f>IF(ISBLANK(Table2[[#This Row],[Received by]]),1,0)</f>
        <v>1</v>
      </c>
      <c r="AF324" s="439">
        <f ca="1">IF(Table2[[#This Row],[Start Date]]&gt;TODAY(),1,)</f>
        <v>1</v>
      </c>
      <c r="AG324" s="439">
        <f>IF(ISBLANK(Table2[[#This Row],[Primary Instructor]]),0,1)</f>
        <v>1</v>
      </c>
      <c r="AH324" s="439">
        <f>IF(ISBLANK(Table2[[#This Row],[Instructor 2]]),0,1)</f>
        <v>0</v>
      </c>
      <c r="AI324" s="439">
        <f>Table2[[#This Row],[Course Length (Hours)]]/(SUM(Table2[[#This Row],[1]:[2]]))</f>
        <v>32</v>
      </c>
      <c r="AJ324" s="439">
        <v>2</v>
      </c>
      <c r="AK324" s="439">
        <v>3</v>
      </c>
    </row>
    <row r="325" spans="1:37" s="408" customFormat="1" x14ac:dyDescent="0.25">
      <c r="A325" s="437"/>
      <c r="B325" s="433" t="s">
        <v>60</v>
      </c>
      <c r="C325" s="438" t="str">
        <f>VLOOKUP(Table2[[#This Row],[Course Title]],'TSD-Data'!$A$1:$E$56,2,FALSE)</f>
        <v>A-493-0073</v>
      </c>
      <c r="D325" s="438" t="str">
        <f>VLOOKUP(Table2[[#This Row],[Course Title]],'TSD-Data'!$A$1:$E$56,3,FALSE)</f>
        <v>714S</v>
      </c>
      <c r="E325" s="455" t="s">
        <v>86</v>
      </c>
      <c r="F325" s="418">
        <v>45810</v>
      </c>
      <c r="G325" s="418">
        <v>45813</v>
      </c>
      <c r="H325" s="432"/>
      <c r="I325" s="417">
        <v>0.45833333333333331</v>
      </c>
      <c r="J325" s="417">
        <v>0.33333333333333331</v>
      </c>
      <c r="K325" s="417">
        <v>0.75</v>
      </c>
      <c r="L325" s="417">
        <v>0.66666666666666663</v>
      </c>
      <c r="M325" s="417">
        <v>0.20833333333333334</v>
      </c>
      <c r="N325" s="417">
        <v>0</v>
      </c>
      <c r="O325" s="437" t="s">
        <v>314</v>
      </c>
      <c r="P325" s="437"/>
      <c r="Q325" s="365"/>
      <c r="R325" s="439">
        <f>VLOOKUP(Table2[[#This Row],[Course Title]],'TSD-Data'!$A$1:$E$56,4,FALSE)</f>
        <v>30</v>
      </c>
      <c r="S325" s="439">
        <f>VLOOKUP(Table2[[#This Row],[Course Title]],'TSD-Data'!$A$1:$F$53,6,FALSE)</f>
        <v>32</v>
      </c>
      <c r="T325" s="439">
        <f>VLOOKUP(Table2[[#This Row],[Course Title]],'TSD-Data'!$A$1:$E$56,5,FALSE)</f>
        <v>4</v>
      </c>
      <c r="U325" s="439">
        <v>433</v>
      </c>
      <c r="V325" s="439">
        <f>Table2[[#This Row],[Quotas]]-Table2[[#This Row],[Open Quotas]]</f>
        <v>13</v>
      </c>
      <c r="W325" s="439">
        <v>0</v>
      </c>
      <c r="X325" s="439"/>
      <c r="Y325" s="440"/>
      <c r="Z325" s="439"/>
      <c r="AA325" s="439"/>
      <c r="AB325" s="439"/>
      <c r="AC325" s="439"/>
      <c r="AD325" s="440">
        <f ca="1">Table2[[#This Row],[End Date]]+2-TODAY()</f>
        <v>38</v>
      </c>
      <c r="AE325" s="439">
        <f>IF(ISBLANK(Table2[[#This Row],[Received by]]),1,0)</f>
        <v>1</v>
      </c>
      <c r="AF325" s="439">
        <f ca="1">IF(Table2[[#This Row],[Start Date]]&gt;TODAY(),1,)</f>
        <v>1</v>
      </c>
      <c r="AG325" s="439">
        <f>IF(ISBLANK(Table2[[#This Row],[Primary Instructor]]),0,1)</f>
        <v>1</v>
      </c>
      <c r="AH325" s="439">
        <f>IF(ISBLANK(Table2[[#This Row],[Instructor 2]]),0,1)</f>
        <v>0</v>
      </c>
      <c r="AI325" s="439">
        <f>Table2[[#This Row],[Course Length (Hours)]]/(SUM(Table2[[#This Row],[1]:[2]]))</f>
        <v>32</v>
      </c>
      <c r="AJ325" s="439">
        <v>17</v>
      </c>
      <c r="AK325" s="439">
        <v>3</v>
      </c>
    </row>
    <row r="326" spans="1:37" s="408" customFormat="1" x14ac:dyDescent="0.25">
      <c r="A326" s="437"/>
      <c r="B326" s="433" t="s">
        <v>36</v>
      </c>
      <c r="C326" s="438" t="str">
        <f>VLOOKUP(Table2[[#This Row],[Course Title]],'TSD-Data'!$A$1:$E$56,2,FALSE)</f>
        <v>A-493-2017</v>
      </c>
      <c r="D326" s="438" t="str">
        <f>VLOOKUP(Table2[[#This Row],[Course Title]],'TSD-Data'!$A$1:$E$56,3,FALSE)</f>
        <v>12x3</v>
      </c>
      <c r="E326" s="455" t="s">
        <v>160</v>
      </c>
      <c r="F326" s="418">
        <v>45810</v>
      </c>
      <c r="G326" s="418">
        <v>45814</v>
      </c>
      <c r="H326" s="417">
        <v>0.33333333333333331</v>
      </c>
      <c r="I326" s="417"/>
      <c r="J326" s="417"/>
      <c r="K326" s="417"/>
      <c r="L326" s="417"/>
      <c r="M326" s="417"/>
      <c r="N326" s="417"/>
      <c r="O326" s="437" t="s">
        <v>280</v>
      </c>
      <c r="P326" s="437"/>
      <c r="Q326" s="365"/>
      <c r="R326" s="439">
        <f>VLOOKUP(Table2[[#This Row],[Course Title]],'TSD-Data'!$A$1:$E$56,4,FALSE)</f>
        <v>25</v>
      </c>
      <c r="S326" s="439">
        <f>VLOOKUP(Table2[[#This Row],[Course Title]],'TSD-Data'!$A$1:$F$53,6,FALSE)</f>
        <v>40</v>
      </c>
      <c r="T326" s="439">
        <f>VLOOKUP(Table2[[#This Row],[Course Title]],'TSD-Data'!$A$1:$E$56,5,FALSE)</f>
        <v>5</v>
      </c>
      <c r="U326" s="439">
        <v>30</v>
      </c>
      <c r="V326" s="439">
        <f>Table2[[#This Row],[Quotas]]-Table2[[#This Row],[Open Quotas]]</f>
        <v>25</v>
      </c>
      <c r="W326" s="439">
        <v>0</v>
      </c>
      <c r="X326" s="439"/>
      <c r="Y326" s="440"/>
      <c r="Z326" s="439"/>
      <c r="AA326" s="439"/>
      <c r="AB326" s="439"/>
      <c r="AC326" s="439"/>
      <c r="AD326" s="440">
        <f ca="1">Table2[[#This Row],[End Date]]+2-TODAY()</f>
        <v>39</v>
      </c>
      <c r="AE326" s="439">
        <f>IF(ISBLANK(Table2[[#This Row],[Received by]]),1,0)</f>
        <v>1</v>
      </c>
      <c r="AF326" s="439">
        <f ca="1">IF(Table2[[#This Row],[Start Date]]&gt;TODAY(),1,)</f>
        <v>1</v>
      </c>
      <c r="AG326" s="439">
        <f>IF(ISBLANK(Table2[[#This Row],[Primary Instructor]]),0,1)</f>
        <v>1</v>
      </c>
      <c r="AH326" s="439">
        <f>IF(ISBLANK(Table2[[#This Row],[Instructor 2]]),0,1)</f>
        <v>0</v>
      </c>
      <c r="AI326" s="439">
        <f>Table2[[#This Row],[Course Length (Hours)]]/(SUM(Table2[[#This Row],[1]:[2]]))</f>
        <v>40</v>
      </c>
      <c r="AJ326" s="439">
        <v>0</v>
      </c>
      <c r="AK326" s="439">
        <v>3</v>
      </c>
    </row>
    <row r="327" spans="1:37" s="408" customFormat="1" x14ac:dyDescent="0.25">
      <c r="A327" s="429" t="s">
        <v>475</v>
      </c>
      <c r="B327" s="433" t="s">
        <v>28</v>
      </c>
      <c r="C327" s="427" t="str">
        <f>VLOOKUP(Table2[[#This Row],[Course Title]],'TSD-Data'!$A$1:$E$56,2,FALSE)</f>
        <v>A-493-0013</v>
      </c>
      <c r="D327" s="427">
        <f>VLOOKUP(Table2[[#This Row],[Course Title]],'TSD-Data'!$A$1:$E$56,3,FALSE)</f>
        <v>3683</v>
      </c>
      <c r="E327" s="450" t="s">
        <v>189</v>
      </c>
      <c r="F327" s="420">
        <v>45811</v>
      </c>
      <c r="G327" s="420">
        <v>45813</v>
      </c>
      <c r="H327" s="422">
        <v>0.33333333333333331</v>
      </c>
      <c r="I327" s="422"/>
      <c r="J327" s="420"/>
      <c r="K327" s="420"/>
      <c r="L327" s="420"/>
      <c r="M327" s="420"/>
      <c r="N327" s="420"/>
      <c r="O327" s="429" t="s">
        <v>289</v>
      </c>
      <c r="P327" s="429"/>
      <c r="Q327" s="365"/>
      <c r="R327" s="414">
        <f>VLOOKUP(Table2[[#This Row],[Course Title]],'TSD-Data'!$A$1:$E$56,4,FALSE)</f>
        <v>40</v>
      </c>
      <c r="S327" s="414">
        <f>VLOOKUP(Table2[[#This Row],[Course Title]],'TSD-Data'!$A$1:$F$53,6,FALSE)</f>
        <v>24</v>
      </c>
      <c r="T327" s="414">
        <f>VLOOKUP(Table2[[#This Row],[Course Title]],'TSD-Data'!$A$1:$E$56,5,FALSE)</f>
        <v>3</v>
      </c>
      <c r="U327" s="414">
        <v>0</v>
      </c>
      <c r="V327" s="414">
        <f>Table2[[#This Row],[Quotas]]-Table2[[#This Row],[Open Quotas]]</f>
        <v>24</v>
      </c>
      <c r="W327" s="414">
        <v>0</v>
      </c>
      <c r="X327" s="414"/>
      <c r="Y327" s="419"/>
      <c r="Z327" s="414"/>
      <c r="AA327" s="414"/>
      <c r="AB327" s="427"/>
      <c r="AC327" s="414"/>
      <c r="AD327" s="419">
        <f ca="1">Table2[[#This Row],[End Date]]+2-TODAY()</f>
        <v>38</v>
      </c>
      <c r="AE327" s="414">
        <f>IF(ISBLANK(Table2[[#This Row],[Received by]]),1,0)</f>
        <v>1</v>
      </c>
      <c r="AF327" s="414">
        <f ca="1">IF(Table2[[#This Row],[Start Date]]&gt;TODAY(),1,)</f>
        <v>1</v>
      </c>
      <c r="AG327" s="414">
        <f>IF(ISBLANK(Table2[[#This Row],[Primary Instructor]]),0,1)</f>
        <v>1</v>
      </c>
      <c r="AH327" s="414">
        <f>IF(ISBLANK(Table2[[#This Row],[Instructor 2]]),0,1)</f>
        <v>0</v>
      </c>
      <c r="AI327" s="414">
        <f>Table2[[#This Row],[Course Length (Hours)]]/(SUM(Table2[[#This Row],[1]:[2]]))</f>
        <v>24</v>
      </c>
      <c r="AJ327" s="414">
        <v>16</v>
      </c>
      <c r="AK327" s="414">
        <v>3</v>
      </c>
    </row>
    <row r="328" spans="1:37" s="408" customFormat="1" x14ac:dyDescent="0.25">
      <c r="A328" s="437"/>
      <c r="B328" s="433" t="s">
        <v>35</v>
      </c>
      <c r="C328" s="438" t="str">
        <f>VLOOKUP(Table2[[#This Row],[Course Title]],'TSD-Data'!$A$1:$E$56,2,FALSE)</f>
        <v>A-493-2501</v>
      </c>
      <c r="D328" s="438" t="str">
        <f>VLOOKUP(Table2[[#This Row],[Course Title]],'TSD-Data'!$A$1:$E$56,3,FALSE)</f>
        <v>05ZE</v>
      </c>
      <c r="E328" s="450" t="s">
        <v>182</v>
      </c>
      <c r="F328" s="418">
        <v>45812</v>
      </c>
      <c r="G328" s="418">
        <v>45812</v>
      </c>
      <c r="H328" s="417">
        <v>0.33333333333333331</v>
      </c>
      <c r="I328" s="417"/>
      <c r="J328" s="417"/>
      <c r="K328" s="417"/>
      <c r="L328" s="417"/>
      <c r="M328" s="417"/>
      <c r="N328" s="417"/>
      <c r="O328" s="437" t="s">
        <v>280</v>
      </c>
      <c r="P328" s="437"/>
      <c r="Q328" s="365"/>
      <c r="R328" s="439">
        <f>VLOOKUP(Table2[[#This Row],[Course Title]],'TSD-Data'!$A$1:$E$56,4,FALSE)</f>
        <v>30</v>
      </c>
      <c r="S328" s="439">
        <f>VLOOKUP(Table2[[#This Row],[Course Title]],'TSD-Data'!$A$1:$F$53,6,FALSE)</f>
        <v>8</v>
      </c>
      <c r="T328" s="439">
        <f>VLOOKUP(Table2[[#This Row],[Course Title]],'TSD-Data'!$A$1:$E$56,5,FALSE)</f>
        <v>1</v>
      </c>
      <c r="U328" s="439">
        <v>35</v>
      </c>
      <c r="V328" s="439">
        <f>Table2[[#This Row],[Quotas]]-Table2[[#This Row],[Open Quotas]]</f>
        <v>11</v>
      </c>
      <c r="W328" s="439">
        <v>0</v>
      </c>
      <c r="X328" s="439"/>
      <c r="Y328" s="440"/>
      <c r="Z328" s="439"/>
      <c r="AA328" s="439"/>
      <c r="AB328" s="439"/>
      <c r="AC328" s="439"/>
      <c r="AD328" s="440">
        <f ca="1">Table2[[#This Row],[End Date]]+2-TODAY()</f>
        <v>37</v>
      </c>
      <c r="AE328" s="439">
        <f>IF(ISBLANK(Table2[[#This Row],[Received by]]),1,0)</f>
        <v>1</v>
      </c>
      <c r="AF328" s="439">
        <f ca="1">IF(Table2[[#This Row],[Start Date]]&gt;TODAY(),1,)</f>
        <v>1</v>
      </c>
      <c r="AG328" s="439">
        <f>IF(ISBLANK(Table2[[#This Row],[Primary Instructor]]),0,1)</f>
        <v>1</v>
      </c>
      <c r="AH328" s="439">
        <f>IF(ISBLANK(Table2[[#This Row],[Instructor 2]]),0,1)</f>
        <v>0</v>
      </c>
      <c r="AI328" s="439">
        <f>Table2[[#This Row],[Course Length (Hours)]]/(SUM(Table2[[#This Row],[1]:[2]]))</f>
        <v>8</v>
      </c>
      <c r="AJ328" s="439">
        <v>19</v>
      </c>
      <c r="AK328" s="439">
        <v>3</v>
      </c>
    </row>
    <row r="329" spans="1:37" s="408" customFormat="1" x14ac:dyDescent="0.25">
      <c r="A329" s="433"/>
      <c r="B329" s="433" t="s">
        <v>33</v>
      </c>
      <c r="C329" s="438" t="str">
        <f>VLOOKUP(Table2[[#This Row],[Course Title]],'TSD-Data'!$A$1:$E$56,2,FALSE)</f>
        <v>A-493-2301</v>
      </c>
      <c r="D329" s="438" t="str">
        <f>VLOOKUP(Table2[[#This Row],[Course Title]],'TSD-Data'!$A$1:$E$56,3,FALSE)</f>
        <v>05ZD</v>
      </c>
      <c r="E329" s="450" t="s">
        <v>204</v>
      </c>
      <c r="F329" s="418">
        <v>45813</v>
      </c>
      <c r="G329" s="418">
        <v>45813</v>
      </c>
      <c r="H329" s="417">
        <v>0.33333333333333331</v>
      </c>
      <c r="I329" s="417"/>
      <c r="J329" s="417"/>
      <c r="K329" s="417"/>
      <c r="L329" s="417"/>
      <c r="M329" s="417"/>
      <c r="N329" s="417"/>
      <c r="O329" s="437" t="s">
        <v>280</v>
      </c>
      <c r="P329" s="437"/>
      <c r="Q329" s="365"/>
      <c r="R329" s="439">
        <f>VLOOKUP(Table2[[#This Row],[Course Title]],'TSD-Data'!$A$1:$E$56,4,FALSE)</f>
        <v>30</v>
      </c>
      <c r="S329" s="439">
        <f>VLOOKUP(Table2[[#This Row],[Course Title]],'TSD-Data'!$A$1:$F$53,6,FALSE)</f>
        <v>8</v>
      </c>
      <c r="T329" s="439">
        <f>VLOOKUP(Table2[[#This Row],[Course Title]],'TSD-Data'!$A$1:$E$56,5,FALSE)</f>
        <v>1</v>
      </c>
      <c r="U329" s="439">
        <v>34</v>
      </c>
      <c r="V329" s="439">
        <f>Table2[[#This Row],[Quotas]]-Table2[[#This Row],[Open Quotas]]</f>
        <v>11</v>
      </c>
      <c r="W329" s="439">
        <v>0</v>
      </c>
      <c r="X329" s="439"/>
      <c r="Y329" s="440"/>
      <c r="Z329" s="439"/>
      <c r="AA329" s="439"/>
      <c r="AB329" s="439"/>
      <c r="AC329" s="439"/>
      <c r="AD329" s="440">
        <f ca="1">Table2[[#This Row],[End Date]]+2-TODAY()</f>
        <v>38</v>
      </c>
      <c r="AE329" s="439">
        <f>IF(ISBLANK(Table2[[#This Row],[Received by]]),1,0)</f>
        <v>1</v>
      </c>
      <c r="AF329" s="439">
        <f ca="1">IF(Table2[[#This Row],[Start Date]]&gt;TODAY(),1,)</f>
        <v>1</v>
      </c>
      <c r="AG329" s="439">
        <f>IF(ISBLANK(Table2[[#This Row],[Primary Instructor]]),0,1)</f>
        <v>1</v>
      </c>
      <c r="AH329" s="439">
        <f>IF(ISBLANK(Table2[[#This Row],[Instructor 2]]),0,1)</f>
        <v>0</v>
      </c>
      <c r="AI329" s="439">
        <f>Table2[[#This Row],[Course Length (Hours)]]/(SUM(Table2[[#This Row],[1]:[2]]))</f>
        <v>8</v>
      </c>
      <c r="AJ329" s="439">
        <v>19</v>
      </c>
      <c r="AK329" s="439">
        <v>3</v>
      </c>
    </row>
    <row r="330" spans="1:37" s="408" customFormat="1" x14ac:dyDescent="0.25">
      <c r="A330" s="437"/>
      <c r="B330" s="433" t="s">
        <v>35</v>
      </c>
      <c r="C330" s="438" t="str">
        <f>VLOOKUP(Table2[[#This Row],[Course Title]],'TSD-Data'!$A$1:$E$56,2,FALSE)</f>
        <v>A-493-2501</v>
      </c>
      <c r="D330" s="438" t="str">
        <f>VLOOKUP(Table2[[#This Row],[Course Title]],'TSD-Data'!$A$1:$E$56,3,FALSE)</f>
        <v>05ZE</v>
      </c>
      <c r="E330" s="433" t="s">
        <v>204</v>
      </c>
      <c r="F330" s="418">
        <v>45814</v>
      </c>
      <c r="G330" s="418">
        <v>45814</v>
      </c>
      <c r="H330" s="417">
        <v>0.33333333333333331</v>
      </c>
      <c r="I330" s="417"/>
      <c r="J330" s="417"/>
      <c r="K330" s="417"/>
      <c r="L330" s="417"/>
      <c r="M330" s="417"/>
      <c r="N330" s="417"/>
      <c r="O330" s="437" t="s">
        <v>280</v>
      </c>
      <c r="P330" s="437"/>
      <c r="Q330" s="365"/>
      <c r="R330" s="439">
        <f>VLOOKUP(Table2[[#This Row],[Course Title]],'TSD-Data'!$A$1:$E$56,4,FALSE)</f>
        <v>30</v>
      </c>
      <c r="S330" s="439">
        <f>VLOOKUP(Table2[[#This Row],[Course Title]],'TSD-Data'!$A$1:$F$53,6,FALSE)</f>
        <v>8</v>
      </c>
      <c r="T330" s="439">
        <f>VLOOKUP(Table2[[#This Row],[Course Title]],'TSD-Data'!$A$1:$E$56,5,FALSE)</f>
        <v>1</v>
      </c>
      <c r="U330" s="439">
        <v>33</v>
      </c>
      <c r="V330" s="439">
        <f>Table2[[#This Row],[Quotas]]-Table2[[#This Row],[Open Quotas]]</f>
        <v>10</v>
      </c>
      <c r="W330" s="439">
        <v>0</v>
      </c>
      <c r="X330" s="439"/>
      <c r="Y330" s="440"/>
      <c r="Z330" s="439"/>
      <c r="AA330" s="439"/>
      <c r="AB330" s="457"/>
      <c r="AC330" s="439"/>
      <c r="AD330" s="440">
        <f ca="1">Table2[[#This Row],[End Date]]+2-TODAY()</f>
        <v>39</v>
      </c>
      <c r="AE330" s="439">
        <f>IF(ISBLANK(Table2[[#This Row],[Received by]]),1,0)</f>
        <v>1</v>
      </c>
      <c r="AF330" s="439">
        <f ca="1">IF(Table2[[#This Row],[Start Date]]&gt;TODAY(),1,)</f>
        <v>1</v>
      </c>
      <c r="AG330" s="439">
        <f>IF(ISBLANK(Table2[[#This Row],[Primary Instructor]]),0,1)</f>
        <v>1</v>
      </c>
      <c r="AH330" s="439">
        <f>IF(ISBLANK(Table2[[#This Row],[Instructor 2]]),0,1)</f>
        <v>0</v>
      </c>
      <c r="AI330" s="439">
        <f>Table2[[#This Row],[Course Length (Hours)]]/(SUM(Table2[[#This Row],[1]:[2]]))</f>
        <v>8</v>
      </c>
      <c r="AJ330" s="439">
        <v>20</v>
      </c>
      <c r="AK330" s="439">
        <v>3</v>
      </c>
    </row>
    <row r="331" spans="1:37" s="408" customFormat="1" x14ac:dyDescent="0.25">
      <c r="A331" s="429" t="s">
        <v>543</v>
      </c>
      <c r="B331" s="433" t="s">
        <v>358</v>
      </c>
      <c r="C331" s="427" t="str">
        <f>VLOOKUP(Table2[[#This Row],[Course Title]],'TSD-Data'!$A$1:$E$56,2,FALSE)</f>
        <v>Reserved</v>
      </c>
      <c r="D331" s="427" t="str">
        <f>VLOOKUP(Table2[[#This Row],[Course Title]],'TSD-Data'!$A$1:$E$56,3,FALSE)</f>
        <v xml:space="preserve">Reserved </v>
      </c>
      <c r="E331" s="481" t="s">
        <v>198</v>
      </c>
      <c r="F331" s="420">
        <v>45817</v>
      </c>
      <c r="G331" s="420">
        <v>45821</v>
      </c>
      <c r="H331" s="422">
        <v>800</v>
      </c>
      <c r="I331" s="422">
        <v>800</v>
      </c>
      <c r="J331" s="422">
        <v>800</v>
      </c>
      <c r="K331" s="422">
        <v>800</v>
      </c>
      <c r="L331" s="422">
        <v>800</v>
      </c>
      <c r="M331" s="422">
        <v>800</v>
      </c>
      <c r="N331" s="422">
        <v>800</v>
      </c>
      <c r="O331" s="429"/>
      <c r="P331" s="429"/>
      <c r="Q331" s="365"/>
      <c r="R331" s="414">
        <f>VLOOKUP(Table2[[#This Row],[Course Title]],'TSD-Data'!$A$1:$E$56,4,FALSE)</f>
        <v>0</v>
      </c>
      <c r="S331" s="414">
        <f>VLOOKUP(Table2[[#This Row],[Course Title]],'TSD-Data'!$A$1:$F$53,6,FALSE)</f>
        <v>0</v>
      </c>
      <c r="T331" s="414">
        <f>VLOOKUP(Table2[[#This Row],[Course Title]],'TSD-Data'!$A$1:$E$56,5,FALSE)</f>
        <v>0</v>
      </c>
      <c r="U331" s="453">
        <v>0</v>
      </c>
      <c r="V331" s="453">
        <f>Table2[[#This Row],[Quotas]]-Table2[[#This Row],[Open Quotas]]</f>
        <v>0</v>
      </c>
      <c r="W331" s="453">
        <v>0</v>
      </c>
      <c r="X331" s="453">
        <v>0</v>
      </c>
      <c r="Y331" s="453">
        <v>0</v>
      </c>
      <c r="Z331" s="453">
        <v>0</v>
      </c>
      <c r="AA331" s="453">
        <v>0</v>
      </c>
      <c r="AB331" s="453">
        <v>0</v>
      </c>
      <c r="AC331" s="414" t="s">
        <v>285</v>
      </c>
      <c r="AD331" s="419">
        <f ca="1">Table2[[#This Row],[End Date]]+2-TODAY()</f>
        <v>46</v>
      </c>
      <c r="AE331" s="414">
        <f>IF(ISBLANK(Table2[[#This Row],[Received by]]),1,0)</f>
        <v>0</v>
      </c>
      <c r="AF331" s="414">
        <f ca="1">IF(Table2[[#This Row],[Start Date]]&gt;TODAY(),1,)</f>
        <v>1</v>
      </c>
      <c r="AG331" s="414">
        <f>IF(ISBLANK(Table2[[#This Row],[Primary Instructor]]),0,1)</f>
        <v>0</v>
      </c>
      <c r="AH331" s="414">
        <f>IF(ISBLANK(Table2[[#This Row],[Instructor 2]]),0,1)</f>
        <v>0</v>
      </c>
      <c r="AI331" s="414" t="e">
        <f>Table2[[#This Row],[Course Length (Hours)]]/(SUM(Table2[[#This Row],[1]:[2]]))</f>
        <v>#DIV/0!</v>
      </c>
      <c r="AJ331" s="414"/>
      <c r="AK331" s="414"/>
    </row>
    <row r="332" spans="1:37" s="408" customFormat="1" x14ac:dyDescent="0.25">
      <c r="A332" s="429"/>
      <c r="B332" s="433" t="s">
        <v>55</v>
      </c>
      <c r="C332" s="427" t="str">
        <f>VLOOKUP(Table2[[#This Row],[Course Title]],'TSD-Data'!$A$1:$E$56,2,FALSE)</f>
        <v>A-493-0103</v>
      </c>
      <c r="D332" s="427" t="str">
        <f>VLOOKUP(Table2[[#This Row],[Course Title]],'TSD-Data'!$A$1:$E$56,3,FALSE)</f>
        <v>12JY</v>
      </c>
      <c r="E332" s="433" t="s">
        <v>214</v>
      </c>
      <c r="F332" s="420">
        <v>45817</v>
      </c>
      <c r="G332" s="420">
        <v>45821</v>
      </c>
      <c r="H332" s="422">
        <v>0.33333333333333331</v>
      </c>
      <c r="I332" s="421"/>
      <c r="J332" s="421"/>
      <c r="K332" s="421"/>
      <c r="L332" s="421"/>
      <c r="M332" s="421"/>
      <c r="N332" s="421"/>
      <c r="O332" s="429" t="s">
        <v>314</v>
      </c>
      <c r="P332" s="429"/>
      <c r="Q332" s="365"/>
      <c r="R332" s="414">
        <f>VLOOKUP(Table2[[#This Row],[Course Title]],'TSD-Data'!$A$1:$E$56,4,FALSE)</f>
        <v>25</v>
      </c>
      <c r="S332" s="414">
        <f>VLOOKUP(Table2[[#This Row],[Course Title]],'TSD-Data'!$A$1:$F$53,6,FALSE)</f>
        <v>40</v>
      </c>
      <c r="T332" s="414">
        <f>VLOOKUP(Table2[[#This Row],[Course Title]],'TSD-Data'!$A$1:$E$56,5,FALSE)</f>
        <v>5</v>
      </c>
      <c r="U332" s="414">
        <v>19</v>
      </c>
      <c r="V332" s="414">
        <f>Table2[[#This Row],[Quotas]]-Table2[[#This Row],[Open Quotas]]</f>
        <v>22</v>
      </c>
      <c r="W332" s="414">
        <v>0</v>
      </c>
      <c r="X332" s="414"/>
      <c r="Y332" s="419"/>
      <c r="Z332" s="414"/>
      <c r="AA332" s="414"/>
      <c r="AB332" s="414"/>
      <c r="AC332" s="414"/>
      <c r="AD332" s="419">
        <f ca="1">Table2[[#This Row],[End Date]]+2-TODAY()</f>
        <v>46</v>
      </c>
      <c r="AE332" s="414">
        <f>IF(ISBLANK(Table2[[#This Row],[Received by]]),1,0)</f>
        <v>1</v>
      </c>
      <c r="AF332" s="414">
        <f ca="1">IF(Table2[[#This Row],[Start Date]]&gt;TODAY(),1,)</f>
        <v>1</v>
      </c>
      <c r="AG332" s="414">
        <f>IF(ISBLANK(Table2[[#This Row],[Primary Instructor]]),0,1)</f>
        <v>1</v>
      </c>
      <c r="AH332" s="414">
        <f>IF(ISBLANK(Table2[[#This Row],[Instructor 2]]),0,1)</f>
        <v>0</v>
      </c>
      <c r="AI332" s="414">
        <f>Table2[[#This Row],[Course Length (Hours)]]/(SUM(Table2[[#This Row],[1]:[2]]))</f>
        <v>40</v>
      </c>
      <c r="AJ332" s="414">
        <v>3</v>
      </c>
      <c r="AK332" s="414">
        <v>3</v>
      </c>
    </row>
    <row r="333" spans="1:37" s="408" customFormat="1" x14ac:dyDescent="0.25">
      <c r="A333" s="437"/>
      <c r="B333" s="433" t="s">
        <v>55</v>
      </c>
      <c r="C333" s="427" t="str">
        <f>VLOOKUP(Table2[[#This Row],[Course Title]],'TSD-Data'!$A$1:$E$56,2,FALSE)</f>
        <v>A-493-0103</v>
      </c>
      <c r="D333" s="427" t="str">
        <f>VLOOKUP(Table2[[#This Row],[Course Title]],'TSD-Data'!$A$1:$E$56,3,FALSE)</f>
        <v>12JY</v>
      </c>
      <c r="E333" s="433" t="s">
        <v>205</v>
      </c>
      <c r="F333" s="418">
        <v>45817</v>
      </c>
      <c r="G333" s="418">
        <v>45821</v>
      </c>
      <c r="H333" s="417">
        <v>0.33333333333333331</v>
      </c>
      <c r="I333" s="443"/>
      <c r="J333" s="421"/>
      <c r="K333" s="443"/>
      <c r="L333" s="443"/>
      <c r="M333" s="421"/>
      <c r="N333" s="443"/>
      <c r="O333" s="437" t="s">
        <v>314</v>
      </c>
      <c r="P333" s="437"/>
      <c r="Q333" s="365"/>
      <c r="R333" s="414">
        <f>VLOOKUP(Table2[[#This Row],[Course Title]],'TSD-Data'!$A$1:$E$56,4,FALSE)</f>
        <v>25</v>
      </c>
      <c r="S333" s="414">
        <f>VLOOKUP(Table2[[#This Row],[Course Title]],'TSD-Data'!$A$1:$F$53,6,FALSE)</f>
        <v>40</v>
      </c>
      <c r="T333" s="414">
        <f>VLOOKUP(Table2[[#This Row],[Course Title]],'TSD-Data'!$A$1:$E$56,5,FALSE)</f>
        <v>5</v>
      </c>
      <c r="U333" s="439">
        <v>155</v>
      </c>
      <c r="V333" s="414">
        <f>Table2[[#This Row],[Quotas]]-Table2[[#This Row],[Open Quotas]]</f>
        <v>25</v>
      </c>
      <c r="W333" s="439">
        <v>0</v>
      </c>
      <c r="X333" s="439"/>
      <c r="Y333" s="440"/>
      <c r="Z333" s="439"/>
      <c r="AA333" s="439"/>
      <c r="AB333" s="439"/>
      <c r="AC333" s="439"/>
      <c r="AD333" s="440">
        <f ca="1">Table2[[#This Row],[End Date]]+2-TODAY()</f>
        <v>46</v>
      </c>
      <c r="AE333" s="439">
        <f>IF(ISBLANK(Table2[[#This Row],[Received by]]),1,0)</f>
        <v>1</v>
      </c>
      <c r="AF333" s="439">
        <f ca="1">IF(Table2[[#This Row],[Start Date]]&gt;TODAY(),1,)</f>
        <v>1</v>
      </c>
      <c r="AG333" s="439">
        <f>IF(ISBLANK(Table2[[#This Row],[Primary Instructor]]),0,1)</f>
        <v>1</v>
      </c>
      <c r="AH333" s="439">
        <f>IF(ISBLANK(Table2[[#This Row],[Instructor 2]]),0,1)</f>
        <v>0</v>
      </c>
      <c r="AI333" s="439">
        <f>Table2[[#This Row],[Course Length (Hours)]]/(SUM(Table2[[#This Row],[1]:[2]]))</f>
        <v>40</v>
      </c>
      <c r="AJ333" s="439">
        <v>0</v>
      </c>
      <c r="AK333" s="439">
        <v>3</v>
      </c>
    </row>
    <row r="334" spans="1:37" s="408" customFormat="1" x14ac:dyDescent="0.25">
      <c r="A334" s="429"/>
      <c r="B334" s="433" t="s">
        <v>17</v>
      </c>
      <c r="C334" s="427" t="str">
        <f>VLOOKUP(Table2[[#This Row],[Course Title]],'TSD-Data'!$A$1:$E$56,2,FALSE)</f>
        <v>A-493-0012</v>
      </c>
      <c r="D334" s="427">
        <f>VLOOKUP(Table2[[#This Row],[Course Title]],'TSD-Data'!$A$1:$E$56,3,FALSE)</f>
        <v>3682</v>
      </c>
      <c r="E334" s="433" t="s">
        <v>170</v>
      </c>
      <c r="F334" s="418">
        <v>45817</v>
      </c>
      <c r="G334" s="418">
        <v>45821</v>
      </c>
      <c r="H334" s="422">
        <v>0.33333333333333331</v>
      </c>
      <c r="I334" s="422"/>
      <c r="J334" s="420"/>
      <c r="K334" s="420"/>
      <c r="L334" s="420"/>
      <c r="M334" s="420"/>
      <c r="N334" s="420"/>
      <c r="O334" s="429" t="s">
        <v>283</v>
      </c>
      <c r="P334" s="429"/>
      <c r="Q334" s="365"/>
      <c r="R334" s="414">
        <f>VLOOKUP(Table2[[#This Row],[Course Title]],'TSD-Data'!$A$1:$E$56,4,FALSE)</f>
        <v>40</v>
      </c>
      <c r="S334" s="414">
        <f>VLOOKUP(Table2[[#This Row],[Course Title]],'TSD-Data'!$A$1:$F$53,6,FALSE)</f>
        <v>40</v>
      </c>
      <c r="T334" s="414">
        <f>VLOOKUP(Table2[[#This Row],[Course Title]],'TSD-Data'!$A$1:$E$56,5,FALSE)</f>
        <v>5</v>
      </c>
      <c r="U334" s="414">
        <v>25</v>
      </c>
      <c r="V334" s="414">
        <f>Table2[[#This Row],[Quotas]]-Table2[[#This Row],[Open Quotas]]</f>
        <v>16</v>
      </c>
      <c r="W334" s="414">
        <v>0</v>
      </c>
      <c r="X334" s="419"/>
      <c r="Y334" s="419"/>
      <c r="Z334" s="414"/>
      <c r="AA334" s="414"/>
      <c r="AB334" s="427"/>
      <c r="AC334" s="414"/>
      <c r="AD334" s="419">
        <f ca="1">Table2[[#This Row],[End Date]]+2-TODAY()</f>
        <v>46</v>
      </c>
      <c r="AE334" s="414">
        <f>IF(ISBLANK(Table2[[#This Row],[Received by]]),1,0)</f>
        <v>1</v>
      </c>
      <c r="AF334" s="414">
        <f ca="1">IF(Table2[[#This Row],[Start Date]]&gt;TODAY(),1,)</f>
        <v>1</v>
      </c>
      <c r="AG334" s="414">
        <f>IF(ISBLANK(Table2[[#This Row],[Primary Instructor]]),0,1)</f>
        <v>1</v>
      </c>
      <c r="AH334" s="414">
        <f>IF(ISBLANK(Table2[[#This Row],[Instructor 2]]),0,1)</f>
        <v>0</v>
      </c>
      <c r="AI334" s="414">
        <f>Table2[[#This Row],[Course Length (Hours)]]/(SUM(Table2[[#This Row],[1]:[2]]))</f>
        <v>40</v>
      </c>
      <c r="AJ334" s="414">
        <v>24</v>
      </c>
      <c r="AK334" s="414">
        <v>3</v>
      </c>
    </row>
    <row r="335" spans="1:37" s="408" customFormat="1" x14ac:dyDescent="0.25">
      <c r="A335" s="458">
        <v>45735</v>
      </c>
      <c r="B335" s="433" t="s">
        <v>28</v>
      </c>
      <c r="C335" s="427" t="str">
        <f>VLOOKUP(Table2[[#This Row],[Course Title]],'TSD-Data'!$A$1:$E$56,2,FALSE)</f>
        <v>A-493-0013</v>
      </c>
      <c r="D335" s="427">
        <v>3683</v>
      </c>
      <c r="E335" s="433" t="s">
        <v>182</v>
      </c>
      <c r="F335" s="418">
        <v>45817</v>
      </c>
      <c r="G335" s="418">
        <v>45819</v>
      </c>
      <c r="H335" s="432" t="s">
        <v>253</v>
      </c>
      <c r="I335" s="417"/>
      <c r="J335" s="418"/>
      <c r="K335" s="418"/>
      <c r="L335" s="418"/>
      <c r="M335" s="418"/>
      <c r="N335" s="418"/>
      <c r="O335" s="437" t="s">
        <v>257</v>
      </c>
      <c r="P335" s="429"/>
      <c r="Q335" s="429"/>
      <c r="R335" s="414">
        <f>VLOOKUP(Table2[[#This Row],[Course Title]],'TSD-Data'!$A$1:$E$56,4,FALSE)</f>
        <v>40</v>
      </c>
      <c r="S335" s="414">
        <f>VLOOKUP(Table2[[#This Row],[Course Title]],'TSD-Data'!$A$1:$F$53,6,FALSE)</f>
        <v>24</v>
      </c>
      <c r="T335" s="414">
        <f>VLOOKUP(Table2[[#This Row],[Course Title]],'TSD-Data'!$A$1:$E$56,5,FALSE)</f>
        <v>3</v>
      </c>
      <c r="U335" s="414">
        <v>13</v>
      </c>
      <c r="V335" s="414">
        <f>Table2[[#This Row],[Quotas]]-Table2[[#This Row],[Open Quotas]]</f>
        <v>36</v>
      </c>
      <c r="W335" s="414"/>
      <c r="X335" s="419"/>
      <c r="Y335" s="419"/>
      <c r="Z335" s="414"/>
      <c r="AA335" s="414"/>
      <c r="AB335" s="414"/>
      <c r="AC335" s="414"/>
      <c r="AD335" s="419">
        <f ca="1">Table2[[#This Row],[End Date]]+2-TODAY()</f>
        <v>44</v>
      </c>
      <c r="AE335" s="414">
        <f>IF(ISBLANK(Table2[[#This Row],[Received by]]),1,0)</f>
        <v>1</v>
      </c>
      <c r="AF335" s="414">
        <f ca="1">IF(Table2[[#This Row],[Start Date]]&gt;TODAY(),1,)</f>
        <v>1</v>
      </c>
      <c r="AG335" s="414">
        <f>IF(ISBLANK(Table2[[#This Row],[Primary Instructor]]),0,1)</f>
        <v>1</v>
      </c>
      <c r="AH335" s="414">
        <f>IF(ISBLANK(Table2[[#This Row],[Instructor 2]]),0,1)</f>
        <v>0</v>
      </c>
      <c r="AI335" s="414">
        <v>24</v>
      </c>
      <c r="AJ335" s="414">
        <v>4</v>
      </c>
      <c r="AK335" s="414"/>
    </row>
    <row r="336" spans="1:37" s="408" customFormat="1" x14ac:dyDescent="0.25">
      <c r="A336" s="429"/>
      <c r="B336" s="433" t="s">
        <v>38</v>
      </c>
      <c r="C336" s="427" t="str">
        <f>VLOOKUP(Table2[[#This Row],[Course Title]],'TSD-Data'!$A$1:$E$56,2,FALSE)</f>
        <v>A-493-0061</v>
      </c>
      <c r="D336" s="427" t="str">
        <f>VLOOKUP(Table2[[#This Row],[Course Title]],'TSD-Data'!$A$1:$E$56,3,FALSE)</f>
        <v>288E</v>
      </c>
      <c r="E336" s="425" t="s">
        <v>86</v>
      </c>
      <c r="F336" s="420">
        <v>45817</v>
      </c>
      <c r="G336" s="420">
        <v>45820</v>
      </c>
      <c r="H336" s="422"/>
      <c r="I336" s="421">
        <v>0.33333333333333331</v>
      </c>
      <c r="J336" s="422">
        <v>0.20833333333333334</v>
      </c>
      <c r="K336" s="422">
        <v>0.625</v>
      </c>
      <c r="L336" s="422">
        <v>0.54166666666666663</v>
      </c>
      <c r="M336" s="422">
        <v>8.3333333333333329E-2</v>
      </c>
      <c r="N336" s="422">
        <v>0.875</v>
      </c>
      <c r="O336" s="429" t="s">
        <v>303</v>
      </c>
      <c r="P336" s="429"/>
      <c r="Q336" s="365"/>
      <c r="R336" s="414">
        <f>VLOOKUP(Table2[[#This Row],[Course Title]],'TSD-Data'!$A$1:$E$56,4,FALSE)</f>
        <v>45</v>
      </c>
      <c r="S336" s="414">
        <f>VLOOKUP(Table2[[#This Row],[Course Title]],'TSD-Data'!$A$1:$F$53,6,FALSE)</f>
        <v>30</v>
      </c>
      <c r="T336" s="414">
        <f>VLOOKUP(Table2[[#This Row],[Course Title]],'TSD-Data'!$A$1:$E$56,5,FALSE)</f>
        <v>4</v>
      </c>
      <c r="U336" s="414">
        <v>369</v>
      </c>
      <c r="V336" s="414">
        <f>Table2[[#This Row],[Quotas]]-Table2[[#This Row],[Open Quotas]]</f>
        <v>13</v>
      </c>
      <c r="W336" s="414">
        <v>0</v>
      </c>
      <c r="X336" s="414"/>
      <c r="Y336" s="419"/>
      <c r="Z336" s="414"/>
      <c r="AA336" s="414"/>
      <c r="AB336" s="414"/>
      <c r="AC336" s="414"/>
      <c r="AD336" s="419">
        <f ca="1">Table2[[#This Row],[End Date]]+2-TODAY()</f>
        <v>45</v>
      </c>
      <c r="AE336" s="414">
        <f>IF(ISBLANK(Table2[[#This Row],[Received by]]),1,0)</f>
        <v>1</v>
      </c>
      <c r="AF336" s="414">
        <f ca="1">IF(Table2[[#This Row],[Start Date]]&gt;TODAY(),1,)</f>
        <v>1</v>
      </c>
      <c r="AG336" s="414">
        <f>IF(ISBLANK(Table2[[#This Row],[Primary Instructor]]),0,1)</f>
        <v>1</v>
      </c>
      <c r="AH336" s="414">
        <f>IF(ISBLANK(Table2[[#This Row],[Instructor 2]]),0,1)</f>
        <v>0</v>
      </c>
      <c r="AI336" s="414">
        <f>Table2[[#This Row],[Course Length (Hours)]]/(SUM(Table2[[#This Row],[1]:[2]]))</f>
        <v>30</v>
      </c>
      <c r="AJ336" s="414">
        <v>32</v>
      </c>
      <c r="AK336" s="414">
        <v>3</v>
      </c>
    </row>
    <row r="337" spans="1:37" s="408" customFormat="1" x14ac:dyDescent="0.25">
      <c r="A337" s="437"/>
      <c r="B337" s="433" t="s">
        <v>33</v>
      </c>
      <c r="C337" s="438" t="str">
        <f>VLOOKUP(Table2[[#This Row],[Course Title]],'TSD-Data'!$A$1:$E$56,2,FALSE)</f>
        <v>A-493-2301</v>
      </c>
      <c r="D337" s="438" t="str">
        <f>VLOOKUP(Table2[[#This Row],[Course Title]],'TSD-Data'!$A$1:$E$56,3,FALSE)</f>
        <v>05ZD</v>
      </c>
      <c r="E337" s="433" t="s">
        <v>199</v>
      </c>
      <c r="F337" s="418">
        <v>45817</v>
      </c>
      <c r="G337" s="418">
        <v>45817</v>
      </c>
      <c r="H337" s="417">
        <v>0.33333333333333331</v>
      </c>
      <c r="I337" s="417"/>
      <c r="J337" s="417"/>
      <c r="K337" s="417"/>
      <c r="L337" s="417"/>
      <c r="M337" s="417"/>
      <c r="N337" s="417"/>
      <c r="O337" s="437" t="s">
        <v>280</v>
      </c>
      <c r="P337" s="437"/>
      <c r="Q337" s="365"/>
      <c r="R337" s="439">
        <f>VLOOKUP(Table2[[#This Row],[Course Title]],'TSD-Data'!$A$1:$E$56,4,FALSE)</f>
        <v>30</v>
      </c>
      <c r="S337" s="439">
        <f>VLOOKUP(Table2[[#This Row],[Course Title]],'TSD-Data'!$A$1:$F$53,6,FALSE)</f>
        <v>8</v>
      </c>
      <c r="T337" s="439">
        <f>VLOOKUP(Table2[[#This Row],[Course Title]],'TSD-Data'!$A$1:$E$56,5,FALSE)</f>
        <v>1</v>
      </c>
      <c r="U337" s="439">
        <v>59</v>
      </c>
      <c r="V337" s="439">
        <f>Table2[[#This Row],[Quotas]]-Table2[[#This Row],[Open Quotas]]</f>
        <v>13</v>
      </c>
      <c r="W337" s="439">
        <v>0</v>
      </c>
      <c r="X337" s="439"/>
      <c r="Y337" s="440"/>
      <c r="Z337" s="439"/>
      <c r="AA337" s="439"/>
      <c r="AB337" s="438"/>
      <c r="AC337" s="439"/>
      <c r="AD337" s="440">
        <f ca="1">Table2[[#This Row],[End Date]]+2-TODAY()</f>
        <v>42</v>
      </c>
      <c r="AE337" s="439">
        <f>IF(ISBLANK(Table2[[#This Row],[Received by]]),1,0)</f>
        <v>1</v>
      </c>
      <c r="AF337" s="439">
        <f ca="1">IF(Table2[[#This Row],[Start Date]]&gt;TODAY(),1,)</f>
        <v>1</v>
      </c>
      <c r="AG337" s="439">
        <f>IF(ISBLANK(Table2[[#This Row],[Primary Instructor]]),0,1)</f>
        <v>1</v>
      </c>
      <c r="AH337" s="439">
        <f>IF(ISBLANK(Table2[[#This Row],[Instructor 2]]),0,1)</f>
        <v>0</v>
      </c>
      <c r="AI337" s="439">
        <f>Table2[[#This Row],[Course Length (Hours)]]/(SUM(Table2[[#This Row],[1]:[2]]))</f>
        <v>8</v>
      </c>
      <c r="AJ337" s="439">
        <v>17</v>
      </c>
      <c r="AK337" s="439">
        <v>3</v>
      </c>
    </row>
    <row r="338" spans="1:37" s="408" customFormat="1" x14ac:dyDescent="0.25">
      <c r="A338" s="437"/>
      <c r="B338" s="433" t="s">
        <v>61</v>
      </c>
      <c r="C338" s="438" t="str">
        <f>VLOOKUP(Table2[[#This Row],[Course Title]],'TSD-Data'!$A$1:$E$56,2,FALSE)</f>
        <v>A-493-0078</v>
      </c>
      <c r="D338" s="438">
        <f>VLOOKUP(Table2[[#This Row],[Course Title]],'TSD-Data'!$A$1:$E$56,3,FALSE)</f>
        <v>1228</v>
      </c>
      <c r="E338" s="433" t="s">
        <v>86</v>
      </c>
      <c r="F338" s="418">
        <v>45817</v>
      </c>
      <c r="G338" s="418">
        <v>45820</v>
      </c>
      <c r="H338" s="418"/>
      <c r="I338" s="443">
        <v>0.29166666666666669</v>
      </c>
      <c r="J338" s="417">
        <v>0.16666666666666666</v>
      </c>
      <c r="K338" s="417">
        <v>0.58333333333333337</v>
      </c>
      <c r="L338" s="417">
        <v>0.5</v>
      </c>
      <c r="M338" s="417">
        <v>4.1666666666666664E-2</v>
      </c>
      <c r="N338" s="417">
        <v>0.83333333333333337</v>
      </c>
      <c r="O338" s="437" t="s">
        <v>304</v>
      </c>
      <c r="P338" s="437"/>
      <c r="Q338" s="365"/>
      <c r="R338" s="439">
        <f>VLOOKUP(Table2[[#This Row],[Course Title]],'TSD-Data'!$A$1:$E$56,4,FALSE)</f>
        <v>45</v>
      </c>
      <c r="S338" s="439">
        <f>VLOOKUP(Table2[[#This Row],[Course Title]],'TSD-Data'!$A$1:$F$53,6,FALSE)</f>
        <v>32</v>
      </c>
      <c r="T338" s="439">
        <f>VLOOKUP(Table2[[#This Row],[Course Title]],'TSD-Data'!$A$1:$E$56,5,FALSE)</f>
        <v>4</v>
      </c>
      <c r="U338" s="439">
        <v>62</v>
      </c>
      <c r="V338" s="439">
        <f>Table2[[#This Row],[Quotas]]-Table2[[#This Row],[Open Quotas]]</f>
        <v>17</v>
      </c>
      <c r="W338" s="439">
        <v>0</v>
      </c>
      <c r="X338" s="439"/>
      <c r="Y338" s="440"/>
      <c r="Z338" s="439"/>
      <c r="AA338" s="439"/>
      <c r="AB338" s="439"/>
      <c r="AC338" s="439"/>
      <c r="AD338" s="440">
        <f ca="1">Table2[[#This Row],[End Date]]+2-TODAY()</f>
        <v>45</v>
      </c>
      <c r="AE338" s="439">
        <f>IF(ISBLANK(Table2[[#This Row],[Received by]]),1,0)</f>
        <v>1</v>
      </c>
      <c r="AF338" s="439">
        <f ca="1">IF(Table2[[#This Row],[Start Date]]&gt;TODAY(),1,)</f>
        <v>1</v>
      </c>
      <c r="AG338" s="439">
        <f>IF(ISBLANK(Table2[[#This Row],[Primary Instructor]]),0,1)</f>
        <v>1</v>
      </c>
      <c r="AH338" s="439">
        <f>IF(ISBLANK(Table2[[#This Row],[Instructor 2]]),0,1)</f>
        <v>0</v>
      </c>
      <c r="AI338" s="439">
        <f>Table2[[#This Row],[Course Length (Hours)]]/(SUM(Table2[[#This Row],[1]:[2]]))</f>
        <v>32</v>
      </c>
      <c r="AJ338" s="439">
        <v>28</v>
      </c>
      <c r="AK338" s="439">
        <v>3</v>
      </c>
    </row>
    <row r="339" spans="1:37" s="408" customFormat="1" x14ac:dyDescent="0.25">
      <c r="A339" s="437"/>
      <c r="B339" s="433" t="s">
        <v>52</v>
      </c>
      <c r="C339" s="438" t="str">
        <f>VLOOKUP(Table2[[#This Row],[Course Title]],'TSD-Data'!$A$1:$E$56,2,FALSE)</f>
        <v>A-493-0085</v>
      </c>
      <c r="D339" s="438">
        <f>VLOOKUP(Table2[[#This Row],[Course Title]],'TSD-Data'!$A$1:$E$56,3,FALSE)</f>
        <v>3555</v>
      </c>
      <c r="E339" s="433" t="s">
        <v>86</v>
      </c>
      <c r="F339" s="418">
        <v>45817</v>
      </c>
      <c r="G339" s="418">
        <v>45820</v>
      </c>
      <c r="H339" s="417"/>
      <c r="I339" s="443">
        <v>0.5</v>
      </c>
      <c r="J339" s="443">
        <v>0.375</v>
      </c>
      <c r="K339" s="443">
        <v>0.79166666666666663</v>
      </c>
      <c r="L339" s="443">
        <v>0.75</v>
      </c>
      <c r="M339" s="443">
        <v>0.25</v>
      </c>
      <c r="N339" s="443">
        <v>4.1666666666666664E-2</v>
      </c>
      <c r="O339" s="437" t="s">
        <v>316</v>
      </c>
      <c r="P339" s="437"/>
      <c r="Q339" s="365"/>
      <c r="R339" s="439">
        <f>VLOOKUP(Table2[[#This Row],[Course Title]],'TSD-Data'!$A$1:$E$56,4,FALSE)</f>
        <v>45</v>
      </c>
      <c r="S339" s="439">
        <f>VLOOKUP(Table2[[#This Row],[Course Title]],'TSD-Data'!$A$1:$F$53,6,FALSE)</f>
        <v>32</v>
      </c>
      <c r="T339" s="439">
        <f>VLOOKUP(Table2[[#This Row],[Course Title]],'TSD-Data'!$A$1:$E$56,5,FALSE)</f>
        <v>4</v>
      </c>
      <c r="U339" s="439">
        <v>503</v>
      </c>
      <c r="V339" s="439">
        <f>Table2[[#This Row],[Quotas]]-Table2[[#This Row],[Open Quotas]]</f>
        <v>10</v>
      </c>
      <c r="W339" s="439">
        <v>0</v>
      </c>
      <c r="X339" s="439"/>
      <c r="Y339" s="440"/>
      <c r="Z339" s="439"/>
      <c r="AA339" s="439"/>
      <c r="AB339" s="439"/>
      <c r="AC339" s="439"/>
      <c r="AD339" s="440">
        <f ca="1">Table2[[#This Row],[End Date]]+2-TODAY()</f>
        <v>45</v>
      </c>
      <c r="AE339" s="439">
        <f>IF(ISBLANK(Table2[[#This Row],[Received by]]),1,0)</f>
        <v>1</v>
      </c>
      <c r="AF339" s="439">
        <f ca="1">IF(Table2[[#This Row],[Start Date]]&gt;TODAY(),1,)</f>
        <v>1</v>
      </c>
      <c r="AG339" s="439">
        <f>IF(ISBLANK(Table2[[#This Row],[Primary Instructor]]),0,1)</f>
        <v>1</v>
      </c>
      <c r="AH339" s="439">
        <f>IF(ISBLANK(Table2[[#This Row],[Instructor 2]]),0,1)</f>
        <v>0</v>
      </c>
      <c r="AI339" s="439">
        <f>Table2[[#This Row],[Course Length (Hours)]]/(SUM(Table2[[#This Row],[1]:[2]]))</f>
        <v>32</v>
      </c>
      <c r="AJ339" s="439">
        <v>35</v>
      </c>
      <c r="AK339" s="439">
        <v>3</v>
      </c>
    </row>
    <row r="340" spans="1:37" s="408" customFormat="1" x14ac:dyDescent="0.25">
      <c r="A340" s="438"/>
      <c r="B340" s="433" t="s">
        <v>39</v>
      </c>
      <c r="C340" s="438" t="str">
        <f>VLOOKUP(Table2[[#This Row],[Course Title]],'TSD-Data'!$A$1:$E$56,2,FALSE)</f>
        <v>A-570-0100</v>
      </c>
      <c r="D340" s="438" t="str">
        <f>VLOOKUP(Table2[[#This Row],[Course Title]],'TSD-Data'!$A$1:$E$56,3,FALSE)</f>
        <v>18B7</v>
      </c>
      <c r="E340" s="433" t="s">
        <v>86</v>
      </c>
      <c r="F340" s="418">
        <v>45817</v>
      </c>
      <c r="G340" s="418">
        <v>45818</v>
      </c>
      <c r="H340" s="417"/>
      <c r="I340" s="443">
        <v>0.5</v>
      </c>
      <c r="J340" s="443">
        <v>0.375</v>
      </c>
      <c r="K340" s="443">
        <v>0.79166666666666663</v>
      </c>
      <c r="L340" s="443">
        <v>0.75</v>
      </c>
      <c r="M340" s="443">
        <v>0.25</v>
      </c>
      <c r="N340" s="443">
        <v>4.1666666666666664E-2</v>
      </c>
      <c r="O340" s="437" t="s">
        <v>288</v>
      </c>
      <c r="P340" s="437"/>
      <c r="Q340" s="365"/>
      <c r="R340" s="439">
        <f>VLOOKUP(Table2[[#This Row],[Course Title]],'TSD-Data'!$A$1:$E$56,4,FALSE)</f>
        <v>45</v>
      </c>
      <c r="S340" s="439">
        <f>VLOOKUP(Table2[[#This Row],[Course Title]],'TSD-Data'!$A$1:$F$53,6,FALSE)</f>
        <v>16</v>
      </c>
      <c r="T340" s="439">
        <f>VLOOKUP(Table2[[#This Row],[Course Title]],'TSD-Data'!$A$1:$E$56,5,FALSE)</f>
        <v>2</v>
      </c>
      <c r="U340" s="439">
        <v>621</v>
      </c>
      <c r="V340" s="439">
        <f>Table2[[#This Row],[Quotas]]-Table2[[#This Row],[Open Quotas]]</f>
        <v>11</v>
      </c>
      <c r="W340" s="439">
        <v>0</v>
      </c>
      <c r="X340" s="444"/>
      <c r="Y340" s="444"/>
      <c r="Z340" s="438"/>
      <c r="AA340" s="438"/>
      <c r="AB340" s="444"/>
      <c r="AC340" s="439"/>
      <c r="AD340" s="440">
        <f ca="1">Table2[[#This Row],[End Date]]+2-TODAY()</f>
        <v>43</v>
      </c>
      <c r="AE340" s="439">
        <f>IF(ISBLANK(Table2[[#This Row],[Received by]]),1,0)</f>
        <v>1</v>
      </c>
      <c r="AF340" s="439">
        <f ca="1">IF(Table2[[#This Row],[Start Date]]&gt;TODAY(),1,)</f>
        <v>1</v>
      </c>
      <c r="AG340" s="439">
        <f>IF(ISBLANK(Table2[[#This Row],[Primary Instructor]]),0,1)</f>
        <v>1</v>
      </c>
      <c r="AH340" s="439">
        <f>IF(ISBLANK(Table2[[#This Row],[Instructor 2]]),0,1)</f>
        <v>0</v>
      </c>
      <c r="AI340" s="439">
        <f>Table2[[#This Row],[Course Length (Hours)]]/(SUM(Table2[[#This Row],[1]:[2]]))</f>
        <v>16</v>
      </c>
      <c r="AJ340" s="439">
        <v>34</v>
      </c>
      <c r="AK340" s="439">
        <v>3</v>
      </c>
    </row>
    <row r="341" spans="1:37" s="408" customFormat="1" x14ac:dyDescent="0.25">
      <c r="A341" s="437" t="s">
        <v>531</v>
      </c>
      <c r="B341" s="433" t="s">
        <v>53</v>
      </c>
      <c r="C341" s="438" t="str">
        <f>VLOOKUP(Table2[[#This Row],[Course Title]],'TSD-Data'!$A$1:$E$56,2,FALSE)</f>
        <v>A-493-0072</v>
      </c>
      <c r="D341" s="438" t="str">
        <f>VLOOKUP(Table2[[#This Row],[Course Title]],'TSD-Data'!$A$1:$E$56,3,FALSE)</f>
        <v>713U</v>
      </c>
      <c r="E341" s="433" t="s">
        <v>166</v>
      </c>
      <c r="F341" s="418">
        <v>45817</v>
      </c>
      <c r="G341" s="418">
        <v>45821</v>
      </c>
      <c r="H341" s="417">
        <v>0.33333333333333331</v>
      </c>
      <c r="I341" s="417"/>
      <c r="J341" s="418"/>
      <c r="K341" s="418"/>
      <c r="L341" s="418"/>
      <c r="M341" s="418"/>
      <c r="N341" s="418"/>
      <c r="O341" s="437" t="s">
        <v>315</v>
      </c>
      <c r="P341" s="437"/>
      <c r="Q341" s="431" t="s">
        <v>292</v>
      </c>
      <c r="R341" s="440">
        <f>VLOOKUP(Table2[[#This Row],[Course Title]],'TSD-Data'!$A$1:$E$56,4,FALSE)</f>
        <v>30</v>
      </c>
      <c r="S341" s="439">
        <f>VLOOKUP(Table2[[#This Row],[Course Title]],'TSD-Data'!$A$1:$F$53,6,FALSE)</f>
        <v>40</v>
      </c>
      <c r="T341" s="444">
        <f>VLOOKUP(Table2[[#This Row],[Course Title]],'TSD-Data'!$A$1:$E$56,5,FALSE)</f>
        <v>5</v>
      </c>
      <c r="U341" s="439">
        <v>0</v>
      </c>
      <c r="V341" s="439">
        <f>Table2[[#This Row],[Quotas]]-Table2[[#This Row],[Open Quotas]]</f>
        <v>5</v>
      </c>
      <c r="W341" s="439">
        <v>0</v>
      </c>
      <c r="X341" s="440"/>
      <c r="Y341" s="440"/>
      <c r="Z341" s="439"/>
      <c r="AA341" s="439"/>
      <c r="AB341" s="438"/>
      <c r="AC341" s="439"/>
      <c r="AD341" s="440">
        <f ca="1">Table2[[#This Row],[End Date]]+2-TODAY()</f>
        <v>46</v>
      </c>
      <c r="AE341" s="439">
        <f>IF(ISBLANK(Table2[[#This Row],[Received by]]),1,0)</f>
        <v>1</v>
      </c>
      <c r="AF341" s="439">
        <f ca="1">IF(Table2[[#This Row],[Start Date]]&gt;TODAY(),1,)</f>
        <v>1</v>
      </c>
      <c r="AG341" s="439">
        <f>IF(ISBLANK(Table2[[#This Row],[Primary Instructor]]),0,1)</f>
        <v>1</v>
      </c>
      <c r="AH341" s="439">
        <f>IF(ISBLANK(Table2[[#This Row],[Instructor 2]]),0,1)</f>
        <v>0</v>
      </c>
      <c r="AI341" s="439">
        <f>Table2[[#This Row],[Course Length (Hours)]]/(SUM(Table2[[#This Row],[1]:[2]]))</f>
        <v>40</v>
      </c>
      <c r="AJ341" s="439">
        <v>25</v>
      </c>
      <c r="AK341" s="439">
        <v>3</v>
      </c>
    </row>
    <row r="342" spans="1:37" s="408" customFormat="1" x14ac:dyDescent="0.25">
      <c r="A342" s="437"/>
      <c r="B342" s="433" t="s">
        <v>338</v>
      </c>
      <c r="C342" s="438" t="str">
        <f>VLOOKUP(Table2[[#This Row],[Course Title]],'TSD-Data'!$A$1:$E$56,2,FALSE)</f>
        <v>A-4J-0019</v>
      </c>
      <c r="D342" s="438" t="s">
        <v>544</v>
      </c>
      <c r="E342" s="433" t="s">
        <v>200</v>
      </c>
      <c r="F342" s="418">
        <v>45817</v>
      </c>
      <c r="G342" s="418">
        <v>45821</v>
      </c>
      <c r="H342" s="417">
        <v>0.33333333333333331</v>
      </c>
      <c r="I342" s="417"/>
      <c r="J342" s="418"/>
      <c r="K342" s="418"/>
      <c r="L342" s="418"/>
      <c r="M342" s="418"/>
      <c r="N342" s="418"/>
      <c r="O342" s="437" t="s">
        <v>327</v>
      </c>
      <c r="P342" s="524" t="s">
        <v>329</v>
      </c>
      <c r="Q342" s="365"/>
      <c r="R342" s="440">
        <f>VLOOKUP(Table2[[#This Row],[Course Title]],'TSD-Data'!$A$1:$E$56,4,FALSE)</f>
        <v>20</v>
      </c>
      <c r="S342" s="439">
        <f>VLOOKUP(Table2[[#This Row],[Course Title]],'TSD-Data'!$A$1:$F$53,6,FALSE)</f>
        <v>40</v>
      </c>
      <c r="T342" s="444">
        <f>VLOOKUP(Table2[[#This Row],[Course Title]],'TSD-Data'!$A$1:$E$56,5,FALSE)</f>
        <v>5</v>
      </c>
      <c r="U342" s="444">
        <v>351</v>
      </c>
      <c r="V342" s="439">
        <f>Table2[[#This Row],[Quotas]]-Table2[[#This Row],[Open Quotas]]</f>
        <v>20</v>
      </c>
      <c r="W342" s="444">
        <v>48</v>
      </c>
      <c r="X342" s="440"/>
      <c r="Y342" s="440"/>
      <c r="Z342" s="439"/>
      <c r="AA342" s="439"/>
      <c r="AB342" s="438"/>
      <c r="AC342" s="439"/>
      <c r="AD342" s="440">
        <f ca="1">Table2[[#This Row],[End Date]]+2-TODAY()</f>
        <v>46</v>
      </c>
      <c r="AE342" s="439">
        <f>IF(ISBLANK(Table2[[#This Row],[Received by]]),1,0)</f>
        <v>1</v>
      </c>
      <c r="AF342" s="439">
        <f ca="1">IF(Table2[[#This Row],[Start Date]]&gt;TODAY(),1,)</f>
        <v>1</v>
      </c>
      <c r="AG342" s="439">
        <f>IF(ISBLANK(Table2[[#This Row],[Primary Instructor]]),0,1)</f>
        <v>1</v>
      </c>
      <c r="AH342" s="439">
        <f>IF(ISBLANK(Table2[[#This Row],[Instructor 2]]),0,1)</f>
        <v>1</v>
      </c>
      <c r="AI342" s="439">
        <f>Table2[[#This Row],[Course Length (Hours)]]/(SUM(Table2[[#This Row],[1]:[2]]))</f>
        <v>20</v>
      </c>
      <c r="AJ342" s="439">
        <v>0</v>
      </c>
      <c r="AK342" s="439">
        <v>3</v>
      </c>
    </row>
    <row r="343" spans="1:37" s="373" customFormat="1" x14ac:dyDescent="0.25">
      <c r="A343" s="438"/>
      <c r="B343" s="433" t="s">
        <v>40</v>
      </c>
      <c r="C343" s="438" t="str">
        <f>VLOOKUP(Table2[[#This Row],[Course Title]],'TSD-Data'!$A$1:$E$56,2,FALSE)</f>
        <v>A-493-2098</v>
      </c>
      <c r="D343" s="438" t="str">
        <f>VLOOKUP(Table2[[#This Row],[Course Title]],'TSD-Data'!$A$1:$E$56,3,FALSE)</f>
        <v>09WW</v>
      </c>
      <c r="E343" s="433" t="s">
        <v>86</v>
      </c>
      <c r="F343" s="418">
        <v>45817</v>
      </c>
      <c r="G343" s="418">
        <v>45818</v>
      </c>
      <c r="H343" s="417"/>
      <c r="I343" s="443">
        <v>0.5</v>
      </c>
      <c r="J343" s="443">
        <v>0.375</v>
      </c>
      <c r="K343" s="443">
        <v>0.79166666666666663</v>
      </c>
      <c r="L343" s="443">
        <v>0.75</v>
      </c>
      <c r="M343" s="443">
        <v>0.25</v>
      </c>
      <c r="N343" s="443">
        <v>4.1666666666666664E-2</v>
      </c>
      <c r="O343" s="437" t="s">
        <v>282</v>
      </c>
      <c r="P343" s="437"/>
      <c r="Q343" s="365"/>
      <c r="R343" s="439">
        <f>VLOOKUP(Table2[[#This Row],[Course Title]],'TSD-Data'!$A$1:$E$56,4,FALSE)</f>
        <v>100</v>
      </c>
      <c r="S343" s="439">
        <f>VLOOKUP(Table2[[#This Row],[Course Title]],'TSD-Data'!$A$1:$F$53,6,FALSE)</f>
        <v>16</v>
      </c>
      <c r="T343" s="439">
        <f>VLOOKUP(Table2[[#This Row],[Course Title]],'TSD-Data'!$A$1:$E$56,5,FALSE)</f>
        <v>2</v>
      </c>
      <c r="U343" s="439">
        <v>722</v>
      </c>
      <c r="V343" s="439">
        <f>Table2[[#This Row],[Quotas]]-Table2[[#This Row],[Open Quotas]]</f>
        <v>100</v>
      </c>
      <c r="W343" s="439">
        <v>0</v>
      </c>
      <c r="X343" s="444"/>
      <c r="Y343" s="444"/>
      <c r="Z343" s="438"/>
      <c r="AA343" s="438"/>
      <c r="AB343" s="444"/>
      <c r="AC343" s="439"/>
      <c r="AD343" s="440">
        <f ca="1">Table2[[#This Row],[End Date]]+2-TODAY()</f>
        <v>43</v>
      </c>
      <c r="AE343" s="439">
        <f>IF(ISBLANK(Table2[[#This Row],[Received by]]),1,0)</f>
        <v>1</v>
      </c>
      <c r="AF343" s="439">
        <f ca="1">IF(Table2[[#This Row],[Start Date]]&gt;TODAY(),1,)</f>
        <v>1</v>
      </c>
      <c r="AG343" s="439">
        <f>IF(ISBLANK(Table2[[#This Row],[Primary Instructor]]),0,1)</f>
        <v>1</v>
      </c>
      <c r="AH343" s="439">
        <f>IF(ISBLANK(Table2[[#This Row],[Instructor 2]]),0,1)</f>
        <v>0</v>
      </c>
      <c r="AI343" s="439">
        <f>Table2[[#This Row],[Course Length (Hours)]]/(SUM(Table2[[#This Row],[1]:[2]]))</f>
        <v>16</v>
      </c>
      <c r="AJ343" s="439">
        <v>0</v>
      </c>
      <c r="AK343" s="439">
        <v>3</v>
      </c>
    </row>
    <row r="344" spans="1:37" s="373" customFormat="1" x14ac:dyDescent="0.25">
      <c r="A344" s="429"/>
      <c r="B344" s="433" t="s">
        <v>57</v>
      </c>
      <c r="C344" s="427" t="str">
        <f>VLOOKUP(Table2[[#This Row],[Course Title]],'TSD-Data'!$A$1:$E$56,2,FALSE)</f>
        <v>A-493-0099</v>
      </c>
      <c r="D344" s="427" t="str">
        <f>VLOOKUP(Table2[[#This Row],[Course Title]],'TSD-Data'!$A$1:$E$56,3,FALSE)</f>
        <v>12JW</v>
      </c>
      <c r="E344" s="425" t="s">
        <v>86</v>
      </c>
      <c r="F344" s="420">
        <v>45818</v>
      </c>
      <c r="G344" s="420">
        <v>45820</v>
      </c>
      <c r="H344" s="422"/>
      <c r="I344" s="422">
        <v>0.41666666666666669</v>
      </c>
      <c r="J344" s="421">
        <v>0.29166666666666669</v>
      </c>
      <c r="K344" s="421">
        <v>0.70833333333333337</v>
      </c>
      <c r="L344" s="421">
        <v>0.66666666666666663</v>
      </c>
      <c r="M344" s="421">
        <v>0.16666666666666666</v>
      </c>
      <c r="N344" s="421">
        <v>0.95833333333333337</v>
      </c>
      <c r="O344" s="429" t="s">
        <v>305</v>
      </c>
      <c r="P344" s="429"/>
      <c r="Q344" s="365"/>
      <c r="R344" s="414">
        <f>VLOOKUP(Table2[[#This Row],[Course Title]],'TSD-Data'!$A$1:$E$56,4,FALSE)</f>
        <v>45</v>
      </c>
      <c r="S344" s="414">
        <f>VLOOKUP(Table2[[#This Row],[Course Title]],'TSD-Data'!$A$1:$F$53,6,FALSE)</f>
        <v>24</v>
      </c>
      <c r="T344" s="414">
        <f>VLOOKUP(Table2[[#This Row],[Course Title]],'TSD-Data'!$A$1:$E$56,5,FALSE)</f>
        <v>3</v>
      </c>
      <c r="U344" s="414">
        <v>334</v>
      </c>
      <c r="V344" s="414">
        <f>Table2[[#This Row],[Quotas]]-Table2[[#This Row],[Open Quotas]]</f>
        <v>18</v>
      </c>
      <c r="W344" s="414">
        <v>0</v>
      </c>
      <c r="X344" s="419"/>
      <c r="Y344" s="419"/>
      <c r="Z344" s="414"/>
      <c r="AA344" s="414"/>
      <c r="AB344" s="414"/>
      <c r="AC344" s="414"/>
      <c r="AD344" s="419">
        <f ca="1">Table2[[#This Row],[End Date]]+2-TODAY()</f>
        <v>45</v>
      </c>
      <c r="AE344" s="414">
        <f>IF(ISBLANK(Table2[[#This Row],[Received by]]),1,0)</f>
        <v>1</v>
      </c>
      <c r="AF344" s="414">
        <f ca="1">IF(Table2[[#This Row],[Start Date]]&gt;TODAY(),1,)</f>
        <v>1</v>
      </c>
      <c r="AG344" s="414">
        <f>IF(ISBLANK(Table2[[#This Row],[Primary Instructor]]),0,1)</f>
        <v>1</v>
      </c>
      <c r="AH344" s="414">
        <f>IF(ISBLANK(Table2[[#This Row],[Instructor 2]]),0,1)</f>
        <v>0</v>
      </c>
      <c r="AI344" s="414">
        <f>Table2[[#This Row],[Course Length (Hours)]]/(SUM(Table2[[#This Row],[1]:[2]]))</f>
        <v>24</v>
      </c>
      <c r="AJ344" s="414">
        <v>27</v>
      </c>
      <c r="AK344" s="414">
        <v>3</v>
      </c>
    </row>
    <row r="345" spans="1:37" s="408" customFormat="1" x14ac:dyDescent="0.25">
      <c r="A345" s="429"/>
      <c r="B345" s="433" t="s">
        <v>58</v>
      </c>
      <c r="C345" s="427" t="str">
        <f>VLOOKUP(Table2[[#This Row],[Course Title]],'TSD-Data'!$A$1:$E$56,2,FALSE)</f>
        <v xml:space="preserve">A-493-0075 </v>
      </c>
      <c r="D345" s="427" t="str">
        <f>VLOOKUP(Table2[[#This Row],[Course Title]],'TSD-Data'!$A$1:$E$56,3,FALSE)</f>
        <v>714U</v>
      </c>
      <c r="E345" s="425" t="s">
        <v>192</v>
      </c>
      <c r="F345" s="434">
        <v>45818</v>
      </c>
      <c r="G345" s="420">
        <v>45821</v>
      </c>
      <c r="H345" s="422">
        <v>0.33333333333333331</v>
      </c>
      <c r="I345" s="421"/>
      <c r="J345" s="421"/>
      <c r="K345" s="421"/>
      <c r="L345" s="421"/>
      <c r="M345" s="421"/>
      <c r="N345" s="421"/>
      <c r="O345" s="429" t="s">
        <v>314</v>
      </c>
      <c r="P345" s="429"/>
      <c r="Q345" s="365"/>
      <c r="R345" s="414">
        <f>VLOOKUP(Table2[[#This Row],[Course Title]],'TSD-Data'!$A$1:$E$56,4,FALSE)</f>
        <v>30</v>
      </c>
      <c r="S345" s="414">
        <f>VLOOKUP(Table2[[#This Row],[Course Title]],'TSD-Data'!$A$1:$F$53,6,FALSE)</f>
        <v>32</v>
      </c>
      <c r="T345" s="414">
        <f>VLOOKUP(Table2[[#This Row],[Course Title]],'TSD-Data'!$A$1:$E$56,5,FALSE)</f>
        <v>4</v>
      </c>
      <c r="U345" s="414">
        <v>11</v>
      </c>
      <c r="V345" s="414">
        <f>Table2[[#This Row],[Quotas]]-Table2[[#This Row],[Open Quotas]]</f>
        <v>5</v>
      </c>
      <c r="W345" s="414">
        <v>0</v>
      </c>
      <c r="X345" s="414"/>
      <c r="Y345" s="419"/>
      <c r="Z345" s="414"/>
      <c r="AA345" s="414"/>
      <c r="AB345" s="414"/>
      <c r="AC345" s="414"/>
      <c r="AD345" s="419">
        <f ca="1">Table2[[#This Row],[End Date]]+2-TODAY()</f>
        <v>46</v>
      </c>
      <c r="AE345" s="414">
        <f>IF(ISBLANK(Table2[[#This Row],[Received by]]),1,0)</f>
        <v>1</v>
      </c>
      <c r="AF345" s="414">
        <f ca="1">IF(Table2[[#This Row],[Start Date]]&gt;TODAY(),1,)</f>
        <v>1</v>
      </c>
      <c r="AG345" s="414">
        <f>IF(ISBLANK(Table2[[#This Row],[Primary Instructor]]),0,1)</f>
        <v>1</v>
      </c>
      <c r="AH345" s="414">
        <f>IF(ISBLANK(Table2[[#This Row],[Instructor 2]]),0,1)</f>
        <v>0</v>
      </c>
      <c r="AI345" s="414">
        <f>Table2[[#This Row],[Course Length (Hours)]]/(SUM(Table2[[#This Row],[1]:[2]]))</f>
        <v>32</v>
      </c>
      <c r="AJ345" s="414">
        <v>25</v>
      </c>
      <c r="AK345" s="414">
        <v>3</v>
      </c>
    </row>
    <row r="346" spans="1:37" s="515" customFormat="1" x14ac:dyDescent="0.25">
      <c r="A346" s="437"/>
      <c r="B346" s="433" t="s">
        <v>29</v>
      </c>
      <c r="C346" s="438" t="str">
        <f>VLOOKUP(Table2[[#This Row],[Course Title]],'TSD-Data'!$A$1:$E$56,2,FALSE)</f>
        <v>A-493-0077</v>
      </c>
      <c r="D346" s="438" t="str">
        <f>VLOOKUP(Table2[[#This Row],[Course Title]],'TSD-Data'!$A$1:$E$56,3,FALSE)</f>
        <v>0381</v>
      </c>
      <c r="E346" s="433" t="s">
        <v>215</v>
      </c>
      <c r="F346" s="418">
        <v>45818</v>
      </c>
      <c r="G346" s="418">
        <v>45820</v>
      </c>
      <c r="H346" s="417">
        <v>0.33333333333333331</v>
      </c>
      <c r="I346" s="417"/>
      <c r="J346" s="417"/>
      <c r="K346" s="417"/>
      <c r="L346" s="417"/>
      <c r="M346" s="417"/>
      <c r="N346" s="417"/>
      <c r="O346" s="437" t="s">
        <v>280</v>
      </c>
      <c r="P346" s="437"/>
      <c r="Q346" s="365"/>
      <c r="R346" s="439">
        <f>VLOOKUP(Table2[[#This Row],[Course Title]],'TSD-Data'!$A$1:$E$56,4,FALSE)</f>
        <v>25</v>
      </c>
      <c r="S346" s="439">
        <f>VLOOKUP(Table2[[#This Row],[Course Title]],'TSD-Data'!$A$1:$F$53,6,FALSE)</f>
        <v>24</v>
      </c>
      <c r="T346" s="439">
        <f>VLOOKUP(Table2[[#This Row],[Course Title]],'TSD-Data'!$A$1:$E$56,5,FALSE)</f>
        <v>3</v>
      </c>
      <c r="U346" s="439">
        <v>16</v>
      </c>
      <c r="V346" s="439">
        <f>Table2[[#This Row],[Quotas]]-Table2[[#This Row],[Open Quotas]]</f>
        <v>0</v>
      </c>
      <c r="W346" s="439"/>
      <c r="X346" s="439"/>
      <c r="Y346" s="440"/>
      <c r="Z346" s="439"/>
      <c r="AA346" s="439"/>
      <c r="AB346" s="439"/>
      <c r="AC346" s="439"/>
      <c r="AD346" s="440">
        <f ca="1">Table2[[#This Row],[End Date]]+2-TODAY()</f>
        <v>45</v>
      </c>
      <c r="AE346" s="439">
        <f>IF(ISBLANK(Table2[[#This Row],[Received by]]),1,0)</f>
        <v>1</v>
      </c>
      <c r="AF346" s="439">
        <f ca="1">IF(Table2[[#This Row],[Start Date]]&gt;TODAY(),1,)</f>
        <v>1</v>
      </c>
      <c r="AG346" s="439">
        <f>IF(ISBLANK(Table2[[#This Row],[Primary Instructor]]),0,1)</f>
        <v>1</v>
      </c>
      <c r="AH346" s="439">
        <f>IF(ISBLANK(Table2[[#This Row],[Instructor 2]]),0,1)</f>
        <v>0</v>
      </c>
      <c r="AI346" s="439">
        <f>Table2[[#This Row],[Course Length (Hours)]]/(SUM(Table2[[#This Row],[1]:[2]]))</f>
        <v>24</v>
      </c>
      <c r="AJ346" s="439">
        <v>25</v>
      </c>
      <c r="AK346" s="439">
        <v>3</v>
      </c>
    </row>
    <row r="347" spans="1:37" s="408" customFormat="1" x14ac:dyDescent="0.25">
      <c r="A347" s="437" t="s">
        <v>545</v>
      </c>
      <c r="B347" s="433" t="s">
        <v>31</v>
      </c>
      <c r="C347" s="438" t="str">
        <f>VLOOKUP(Table2[[#This Row],[Course Title]],'TSD-Data'!$A$1:$E$56,2,FALSE)</f>
        <v>A-493-0083</v>
      </c>
      <c r="D347" s="438" t="str">
        <f>VLOOKUP(Table2[[#This Row],[Course Title]],'TSD-Data'!$A$1:$E$56,3,FALSE)</f>
        <v>339E</v>
      </c>
      <c r="E347" s="433" t="s">
        <v>86</v>
      </c>
      <c r="F347" s="418">
        <v>45818</v>
      </c>
      <c r="G347" s="418">
        <v>45818</v>
      </c>
      <c r="H347" s="417"/>
      <c r="I347" s="417">
        <v>0.79166666666666663</v>
      </c>
      <c r="J347" s="443">
        <v>0.66666666666666663</v>
      </c>
      <c r="K347" s="443">
        <v>8.3333333333333329E-2</v>
      </c>
      <c r="L347" s="443">
        <v>0</v>
      </c>
      <c r="M347" s="443">
        <v>0.54166666666666663</v>
      </c>
      <c r="N347" s="443">
        <v>0.33333333333333331</v>
      </c>
      <c r="O347" s="437" t="s">
        <v>280</v>
      </c>
      <c r="P347" s="437"/>
      <c r="Q347" s="365"/>
      <c r="R347" s="439">
        <f>VLOOKUP(Table2[[#This Row],[Course Title]],'TSD-Data'!$A$1:$E$56,4,FALSE)</f>
        <v>30</v>
      </c>
      <c r="S347" s="439">
        <f>VLOOKUP(Table2[[#This Row],[Course Title]],'TSD-Data'!$A$1:$F$53,6,FALSE)</f>
        <v>8</v>
      </c>
      <c r="T347" s="439">
        <f>VLOOKUP(Table2[[#This Row],[Course Title]],'TSD-Data'!$A$1:$E$56,5,FALSE)</f>
        <v>1</v>
      </c>
      <c r="U347" s="439">
        <v>0</v>
      </c>
      <c r="V347" s="439">
        <f>Table2[[#This Row],[Quotas]]-Table2[[#This Row],[Open Quotas]]</f>
        <v>16</v>
      </c>
      <c r="W347" s="439">
        <v>0</v>
      </c>
      <c r="X347" s="439"/>
      <c r="Y347" s="440"/>
      <c r="Z347" s="439"/>
      <c r="AA347" s="439"/>
      <c r="AB347" s="439"/>
      <c r="AC347" s="439"/>
      <c r="AD347" s="440">
        <f ca="1">Table2[[#This Row],[End Date]]+2-TODAY()</f>
        <v>43</v>
      </c>
      <c r="AE347" s="439">
        <f>IF(ISBLANK(Table2[[#This Row],[Received by]]),1,0)</f>
        <v>1</v>
      </c>
      <c r="AF347" s="439">
        <f ca="1">IF(Table2[[#This Row],[Start Date]]&gt;TODAY(),1,)</f>
        <v>1</v>
      </c>
      <c r="AG347" s="439">
        <f>IF(ISBLANK(Table2[[#This Row],[Primary Instructor]]),0,1)</f>
        <v>1</v>
      </c>
      <c r="AH347" s="439">
        <f>IF(ISBLANK(Table2[[#This Row],[Instructor 2]]),0,1)</f>
        <v>0</v>
      </c>
      <c r="AI347" s="439">
        <f>Table2[[#This Row],[Course Length (Hours)]]/(SUM(Table2[[#This Row],[1]:[2]]))</f>
        <v>8</v>
      </c>
      <c r="AJ347" s="439">
        <v>14</v>
      </c>
      <c r="AK347" s="439">
        <v>3</v>
      </c>
    </row>
    <row r="348" spans="1:37" s="408" customFormat="1" x14ac:dyDescent="0.25">
      <c r="A348" s="437"/>
      <c r="B348" s="433" t="s">
        <v>50</v>
      </c>
      <c r="C348" s="438" t="str">
        <f>VLOOKUP(Table2[[#This Row],[Course Title]],'TSD-Data'!$A$1:$E$56,2,FALSE)</f>
        <v>A-493-0331</v>
      </c>
      <c r="D348" s="438" t="str">
        <f>VLOOKUP(Table2[[#This Row],[Course Title]],'TSD-Data'!$A$1:$E$56,3,FALSE)</f>
        <v>10UG</v>
      </c>
      <c r="E348" s="433" t="s">
        <v>86</v>
      </c>
      <c r="F348" s="418">
        <v>45818</v>
      </c>
      <c r="G348" s="418">
        <v>45820</v>
      </c>
      <c r="H348" s="417"/>
      <c r="I348" s="443">
        <v>0.5</v>
      </c>
      <c r="J348" s="443">
        <v>0.375</v>
      </c>
      <c r="K348" s="443">
        <v>0.79166666666666663</v>
      </c>
      <c r="L348" s="443">
        <v>0.75</v>
      </c>
      <c r="M348" s="443">
        <v>0.25</v>
      </c>
      <c r="N348" s="443">
        <v>4.1666666666666664E-2</v>
      </c>
      <c r="O348" s="437" t="s">
        <v>318</v>
      </c>
      <c r="P348" s="437"/>
      <c r="Q348" s="365"/>
      <c r="R348" s="439">
        <f>VLOOKUP(Table2[[#This Row],[Course Title]],'TSD-Data'!$A$1:$E$56,4,FALSE)</f>
        <v>45</v>
      </c>
      <c r="S348" s="439">
        <f>VLOOKUP(Table2[[#This Row],[Course Title]],'TSD-Data'!$A$1:$F$53,6,FALSE)</f>
        <v>24</v>
      </c>
      <c r="T348" s="439">
        <f>VLOOKUP(Table2[[#This Row],[Course Title]],'TSD-Data'!$A$1:$E$56,5,FALSE)</f>
        <v>3</v>
      </c>
      <c r="U348" s="439">
        <v>805</v>
      </c>
      <c r="V348" s="439">
        <f>Table2[[#This Row],[Quotas]]-Table2[[#This Row],[Open Quotas]]</f>
        <v>45</v>
      </c>
      <c r="W348" s="439">
        <v>0</v>
      </c>
      <c r="X348" s="439"/>
      <c r="Y348" s="440"/>
      <c r="Z348" s="439"/>
      <c r="AA348" s="439"/>
      <c r="AB348" s="439"/>
      <c r="AC348" s="439"/>
      <c r="AD348" s="440">
        <f ca="1">Table2[[#This Row],[End Date]]+2-TODAY()</f>
        <v>45</v>
      </c>
      <c r="AE348" s="439">
        <f>IF(ISBLANK(Table2[[#This Row],[Received by]]),1,0)</f>
        <v>1</v>
      </c>
      <c r="AF348" s="439">
        <f ca="1">IF(Table2[[#This Row],[Start Date]]&gt;TODAY(),1,)</f>
        <v>1</v>
      </c>
      <c r="AG348" s="439">
        <f>IF(ISBLANK(Table2[[#This Row],[Primary Instructor]]),0,1)</f>
        <v>1</v>
      </c>
      <c r="AH348" s="439">
        <f>IF(ISBLANK(Table2[[#This Row],[Instructor 2]]),0,1)</f>
        <v>0</v>
      </c>
      <c r="AI348" s="439">
        <f>Table2[[#This Row],[Course Length (Hours)]]/(SUM(Table2[[#This Row],[1]:[2]]))</f>
        <v>24</v>
      </c>
      <c r="AJ348" s="439">
        <v>0</v>
      </c>
      <c r="AK348" s="439">
        <v>3</v>
      </c>
    </row>
    <row r="349" spans="1:37" s="408" customFormat="1" x14ac:dyDescent="0.25">
      <c r="A349" s="437"/>
      <c r="B349" s="433" t="s">
        <v>35</v>
      </c>
      <c r="C349" s="438" t="str">
        <f>VLOOKUP(Table2[[#This Row],[Course Title]],'TSD-Data'!$A$1:$E$56,2,FALSE)</f>
        <v>A-493-2501</v>
      </c>
      <c r="D349" s="438" t="str">
        <f>VLOOKUP(Table2[[#This Row],[Course Title]],'TSD-Data'!$A$1:$E$56,3,FALSE)</f>
        <v>05ZE</v>
      </c>
      <c r="E349" s="433" t="s">
        <v>198</v>
      </c>
      <c r="F349" s="418">
        <v>45818</v>
      </c>
      <c r="G349" s="418">
        <v>45818</v>
      </c>
      <c r="H349" s="417">
        <v>0.33333333333333331</v>
      </c>
      <c r="I349" s="417"/>
      <c r="J349" s="417"/>
      <c r="K349" s="417"/>
      <c r="L349" s="417"/>
      <c r="M349" s="417"/>
      <c r="N349" s="417"/>
      <c r="O349" s="437" t="s">
        <v>280</v>
      </c>
      <c r="P349" s="437"/>
      <c r="Q349" s="365"/>
      <c r="R349" s="439">
        <f>VLOOKUP(Table2[[#This Row],[Course Title]],'TSD-Data'!$A$1:$E$56,4,FALSE)</f>
        <v>30</v>
      </c>
      <c r="S349" s="439">
        <f>VLOOKUP(Table2[[#This Row],[Course Title]],'TSD-Data'!$A$1:$F$53,6,FALSE)</f>
        <v>8</v>
      </c>
      <c r="T349" s="439">
        <f>VLOOKUP(Table2[[#This Row],[Course Title]],'TSD-Data'!$A$1:$E$56,5,FALSE)</f>
        <v>1</v>
      </c>
      <c r="U349" s="439">
        <v>78</v>
      </c>
      <c r="V349" s="439">
        <f>Table2[[#This Row],[Quotas]]-Table2[[#This Row],[Open Quotas]]</f>
        <v>1</v>
      </c>
      <c r="W349" s="439">
        <v>0</v>
      </c>
      <c r="X349" s="439"/>
      <c r="Y349" s="440"/>
      <c r="Z349" s="439"/>
      <c r="AA349" s="439"/>
      <c r="AB349" s="439"/>
      <c r="AC349" s="439"/>
      <c r="AD349" s="440">
        <f ca="1">Table2[[#This Row],[End Date]]+2-TODAY()</f>
        <v>43</v>
      </c>
      <c r="AE349" s="439">
        <f>IF(ISBLANK(Table2[[#This Row],[Received by]]),1,0)</f>
        <v>1</v>
      </c>
      <c r="AF349" s="439">
        <f ca="1">IF(Table2[[#This Row],[Start Date]]&gt;TODAY(),1,)</f>
        <v>1</v>
      </c>
      <c r="AG349" s="439">
        <f>IF(ISBLANK(Table2[[#This Row],[Primary Instructor]]),0,1)</f>
        <v>1</v>
      </c>
      <c r="AH349" s="439">
        <f>IF(ISBLANK(Table2[[#This Row],[Instructor 2]]),0,1)</f>
        <v>0</v>
      </c>
      <c r="AI349" s="439">
        <f>Table2[[#This Row],[Course Length (Hours)]]/(SUM(Table2[[#This Row],[1]:[2]]))</f>
        <v>8</v>
      </c>
      <c r="AJ349" s="439">
        <v>29</v>
      </c>
      <c r="AK349" s="439">
        <v>3</v>
      </c>
    </row>
    <row r="350" spans="1:37" s="408" customFormat="1" x14ac:dyDescent="0.25">
      <c r="A350" s="437"/>
      <c r="B350" s="433" t="s">
        <v>35</v>
      </c>
      <c r="C350" s="438" t="str">
        <f>VLOOKUP(Table2[[#This Row],[Course Title]],'TSD-Data'!$A$1:$E$56,2,FALSE)</f>
        <v>A-493-2501</v>
      </c>
      <c r="D350" s="438" t="str">
        <f>VLOOKUP(Table2[[#This Row],[Course Title]],'TSD-Data'!$A$1:$E$56,3,FALSE)</f>
        <v>05ZE</v>
      </c>
      <c r="E350" s="433" t="s">
        <v>189</v>
      </c>
      <c r="F350" s="418">
        <v>45819</v>
      </c>
      <c r="G350" s="418">
        <v>45819</v>
      </c>
      <c r="H350" s="417">
        <v>0.33333333333333331</v>
      </c>
      <c r="I350" s="417"/>
      <c r="J350" s="417"/>
      <c r="K350" s="417"/>
      <c r="L350" s="417"/>
      <c r="M350" s="417"/>
      <c r="N350" s="417"/>
      <c r="O350" s="437" t="s">
        <v>280</v>
      </c>
      <c r="P350" s="437"/>
      <c r="Q350" s="365"/>
      <c r="R350" s="439">
        <f>VLOOKUP(Table2[[#This Row],[Course Title]],'TSD-Data'!$A$1:$E$56,4,FALSE)</f>
        <v>30</v>
      </c>
      <c r="S350" s="439">
        <f>VLOOKUP(Table2[[#This Row],[Course Title]],'TSD-Data'!$A$1:$F$53,6,FALSE)</f>
        <v>8</v>
      </c>
      <c r="T350" s="439">
        <f>VLOOKUP(Table2[[#This Row],[Course Title]],'TSD-Data'!$A$1:$E$56,5,FALSE)</f>
        <v>1</v>
      </c>
      <c r="U350" s="439">
        <v>2</v>
      </c>
      <c r="V350" s="439">
        <f>Table2[[#This Row],[Quotas]]-Table2[[#This Row],[Open Quotas]]</f>
        <v>4</v>
      </c>
      <c r="W350" s="439">
        <v>0</v>
      </c>
      <c r="X350" s="439"/>
      <c r="Y350" s="440"/>
      <c r="Z350" s="439"/>
      <c r="AA350" s="439"/>
      <c r="AB350" s="439"/>
      <c r="AC350" s="439"/>
      <c r="AD350" s="440">
        <f ca="1">Table2[[#This Row],[End Date]]+2-TODAY()</f>
        <v>44</v>
      </c>
      <c r="AE350" s="439">
        <f>IF(ISBLANK(Table2[[#This Row],[Received by]]),1,0)</f>
        <v>1</v>
      </c>
      <c r="AF350" s="439">
        <f ca="1">IF(Table2[[#This Row],[Start Date]]&gt;TODAY(),1,)</f>
        <v>1</v>
      </c>
      <c r="AG350" s="439">
        <f>IF(ISBLANK(Table2[[#This Row],[Primary Instructor]]),0,1)</f>
        <v>1</v>
      </c>
      <c r="AH350" s="439">
        <f>IF(ISBLANK(Table2[[#This Row],[Instructor 2]]),0,1)</f>
        <v>0</v>
      </c>
      <c r="AI350" s="439">
        <f>Table2[[#This Row],[Course Length (Hours)]]/(SUM(Table2[[#This Row],[1]:[2]]))</f>
        <v>8</v>
      </c>
      <c r="AJ350" s="439">
        <v>26</v>
      </c>
      <c r="AK350" s="439">
        <v>3</v>
      </c>
    </row>
    <row r="351" spans="1:37" s="408" customFormat="1" x14ac:dyDescent="0.25">
      <c r="A351" s="433"/>
      <c r="B351" s="433" t="s">
        <v>35</v>
      </c>
      <c r="C351" s="438" t="str">
        <f>VLOOKUP(Table2[[#This Row],[Course Title]],'TSD-Data'!$A$1:$E$56,2,FALSE)</f>
        <v>A-493-2501</v>
      </c>
      <c r="D351" s="438" t="str">
        <f>VLOOKUP(Table2[[#This Row],[Course Title]],'TSD-Data'!$A$1:$E$56,3,FALSE)</f>
        <v>05ZE</v>
      </c>
      <c r="E351" s="433" t="s">
        <v>201</v>
      </c>
      <c r="F351" s="418">
        <v>45820</v>
      </c>
      <c r="G351" s="418">
        <v>45820</v>
      </c>
      <c r="H351" s="417">
        <v>0.33333333333333331</v>
      </c>
      <c r="I351" s="417"/>
      <c r="J351" s="418"/>
      <c r="K351" s="418"/>
      <c r="L351" s="418"/>
      <c r="M351" s="418"/>
      <c r="N351" s="418"/>
      <c r="O351" s="437" t="s">
        <v>280</v>
      </c>
      <c r="P351" s="437"/>
      <c r="Q351" s="365"/>
      <c r="R351" s="440">
        <f>VLOOKUP(Table2[[#This Row],[Course Title]],'TSD-Data'!$A$1:$E$56,4,FALSE)</f>
        <v>30</v>
      </c>
      <c r="S351" s="439">
        <f>VLOOKUP(Table2[[#This Row],[Course Title]],'TSD-Data'!$A$1:$F$53,6,FALSE)</f>
        <v>8</v>
      </c>
      <c r="T351" s="444">
        <f>VLOOKUP(Table2[[#This Row],[Course Title]],'TSD-Data'!$A$1:$E$56,5,FALSE)</f>
        <v>1</v>
      </c>
      <c r="U351" s="444">
        <v>0</v>
      </c>
      <c r="V351" s="439">
        <f>Table2[[#This Row],[Quotas]]-Table2[[#This Row],[Open Quotas]]</f>
        <v>2</v>
      </c>
      <c r="W351" s="444">
        <v>0</v>
      </c>
      <c r="X351" s="440"/>
      <c r="Y351" s="440"/>
      <c r="Z351" s="439"/>
      <c r="AA351" s="439"/>
      <c r="AB351" s="439"/>
      <c r="AC351" s="439"/>
      <c r="AD351" s="440">
        <f ca="1">Table2[[#This Row],[End Date]]+2-TODAY()</f>
        <v>45</v>
      </c>
      <c r="AE351" s="439">
        <f>IF(ISBLANK(Table2[[#This Row],[Received by]]),1,0)</f>
        <v>1</v>
      </c>
      <c r="AF351" s="439">
        <f ca="1">IF(Table2[[#This Row],[Start Date]]&gt;TODAY(),1,)</f>
        <v>1</v>
      </c>
      <c r="AG351" s="439">
        <f>IF(ISBLANK(Table2[[#This Row],[Primary Instructor]]),0,1)</f>
        <v>1</v>
      </c>
      <c r="AH351" s="439">
        <f>IF(ISBLANK(Table2[[#This Row],[Instructor 2]]),0,1)</f>
        <v>0</v>
      </c>
      <c r="AI351" s="439">
        <f>Table2[[#This Row],[Course Length (Hours)]]/(SUM(Table2[[#This Row],[1]:[2]]))</f>
        <v>8</v>
      </c>
      <c r="AJ351" s="439">
        <v>28</v>
      </c>
      <c r="AK351" s="439">
        <v>3</v>
      </c>
    </row>
    <row r="352" spans="1:37" s="408" customFormat="1" x14ac:dyDescent="0.25">
      <c r="A352" s="433"/>
      <c r="B352" s="426" t="s">
        <v>31</v>
      </c>
      <c r="C352" s="438" t="str">
        <f>VLOOKUP(Table2[[#This Row],[Course Title]],'TSD-Data'!$A$1:$E$56,2,FALSE)</f>
        <v>A-493-0083</v>
      </c>
      <c r="D352" s="438" t="str">
        <f>VLOOKUP(Table2[[#This Row],[Course Title]],'TSD-Data'!$A$1:$E$56,3,FALSE)</f>
        <v>339E</v>
      </c>
      <c r="E352" s="433" t="s">
        <v>215</v>
      </c>
      <c r="F352" s="418">
        <v>45821</v>
      </c>
      <c r="G352" s="418">
        <v>45821</v>
      </c>
      <c r="H352" s="417">
        <v>0.33333333333333331</v>
      </c>
      <c r="I352" s="417"/>
      <c r="J352" s="417"/>
      <c r="K352" s="417"/>
      <c r="L352" s="417"/>
      <c r="M352" s="417"/>
      <c r="N352" s="417"/>
      <c r="O352" s="437" t="s">
        <v>280</v>
      </c>
      <c r="P352" s="437"/>
      <c r="Q352" s="365"/>
      <c r="R352" s="439">
        <f>VLOOKUP(Table2[[#This Row],[Course Title]],'TSD-Data'!$A$1:$E$56,4,FALSE)</f>
        <v>30</v>
      </c>
      <c r="S352" s="439">
        <f>VLOOKUP(Table2[[#This Row],[Course Title]],'TSD-Data'!$A$1:$F$53,6,FALSE)</f>
        <v>8</v>
      </c>
      <c r="T352" s="439">
        <f>VLOOKUP(Table2[[#This Row],[Course Title]],'TSD-Data'!$A$1:$E$56,5,FALSE)</f>
        <v>1</v>
      </c>
      <c r="U352" s="439">
        <v>19</v>
      </c>
      <c r="V352" s="439">
        <f>Table2[[#This Row],[Quotas]]-Table2[[#This Row],[Open Quotas]]</f>
        <v>9</v>
      </c>
      <c r="W352" s="439">
        <v>0</v>
      </c>
      <c r="X352" s="439"/>
      <c r="Y352" s="440"/>
      <c r="Z352" s="439"/>
      <c r="AA352" s="439"/>
      <c r="AB352" s="439"/>
      <c r="AC352" s="439"/>
      <c r="AD352" s="440">
        <f ca="1">Table2[[#This Row],[End Date]]+2-TODAY()</f>
        <v>46</v>
      </c>
      <c r="AE352" s="439">
        <f>IF(ISBLANK(Table2[[#This Row],[Received by]]),1,0)</f>
        <v>1</v>
      </c>
      <c r="AF352" s="439">
        <f ca="1">IF(Table2[[#This Row],[Start Date]]&gt;TODAY(),1,)</f>
        <v>1</v>
      </c>
      <c r="AG352" s="439">
        <f>IF(ISBLANK(Table2[[#This Row],[Primary Instructor]]),0,1)</f>
        <v>1</v>
      </c>
      <c r="AH352" s="439">
        <f>IF(ISBLANK(Table2[[#This Row],[Instructor 2]]),0,1)</f>
        <v>0</v>
      </c>
      <c r="AI352" s="439">
        <f>Table2[[#This Row],[Course Length (Hours)]]/(SUM(Table2[[#This Row],[1]:[2]]))</f>
        <v>8</v>
      </c>
      <c r="AJ352" s="439">
        <v>21</v>
      </c>
      <c r="AK352" s="439">
        <v>3</v>
      </c>
    </row>
    <row r="353" spans="1:37" s="408" customFormat="1" x14ac:dyDescent="0.25">
      <c r="A353" s="437" t="s">
        <v>489</v>
      </c>
      <c r="B353" s="426" t="s">
        <v>35</v>
      </c>
      <c r="C353" s="438" t="str">
        <f>VLOOKUP(Table2[[#This Row],[Course Title]],'TSD-Data'!$A$1:$E$56,2,FALSE)</f>
        <v>A-493-2501</v>
      </c>
      <c r="D353" s="438" t="str">
        <f>VLOOKUP(Table2[[#This Row],[Course Title]],'TSD-Data'!$A$1:$E$56,3,FALSE)</f>
        <v>05ZE</v>
      </c>
      <c r="E353" s="450" t="s">
        <v>221</v>
      </c>
      <c r="F353" s="452">
        <v>45821</v>
      </c>
      <c r="G353" s="452">
        <v>45821</v>
      </c>
      <c r="H353" s="417">
        <v>0.33333333333333331</v>
      </c>
      <c r="I353" s="417"/>
      <c r="J353" s="417"/>
      <c r="K353" s="417"/>
      <c r="L353" s="417"/>
      <c r="M353" s="417"/>
      <c r="N353" s="417"/>
      <c r="O353" s="437" t="s">
        <v>280</v>
      </c>
      <c r="P353" s="437"/>
      <c r="Q353" s="365"/>
      <c r="R353" s="439">
        <f>VLOOKUP(Table2[[#This Row],[Course Title]],'TSD-Data'!$A$1:$E$56,4,FALSE)</f>
        <v>30</v>
      </c>
      <c r="S353" s="439">
        <f>VLOOKUP(Table2[[#This Row],[Course Title]],'TSD-Data'!$A$1:$F$53,6,FALSE)</f>
        <v>8</v>
      </c>
      <c r="T353" s="439">
        <f>VLOOKUP(Table2[[#This Row],[Course Title]],'TSD-Data'!$A$1:$E$56,5,FALSE)</f>
        <v>1</v>
      </c>
      <c r="U353" s="439">
        <v>30</v>
      </c>
      <c r="V353" s="439">
        <f>Table2[[#This Row],[Quotas]]-Table2[[#This Row],[Open Quotas]]</f>
        <v>2</v>
      </c>
      <c r="W353" s="439">
        <v>0</v>
      </c>
      <c r="X353" s="439"/>
      <c r="Y353" s="440"/>
      <c r="Z353" s="439"/>
      <c r="AA353" s="439"/>
      <c r="AB353" s="439"/>
      <c r="AC353" s="439"/>
      <c r="AD353" s="440">
        <f ca="1">Table2[[#This Row],[End Date]]+2-TODAY()</f>
        <v>46</v>
      </c>
      <c r="AE353" s="439">
        <f>IF(ISBLANK(Table2[[#This Row],[Received by]]),1,0)</f>
        <v>1</v>
      </c>
      <c r="AF353" s="439">
        <f ca="1">IF(Table2[[#This Row],[Start Date]]&gt;TODAY(),1,)</f>
        <v>1</v>
      </c>
      <c r="AG353" s="439">
        <f>IF(ISBLANK(Table2[[#This Row],[Primary Instructor]]),0,1)</f>
        <v>1</v>
      </c>
      <c r="AH353" s="439">
        <f>IF(ISBLANK(Table2[[#This Row],[Instructor 2]]),0,1)</f>
        <v>0</v>
      </c>
      <c r="AI353" s="439">
        <f>Table2[[#This Row],[Course Length (Hours)]]/(SUM(Table2[[#This Row],[1]:[2]]))</f>
        <v>8</v>
      </c>
      <c r="AJ353" s="439">
        <v>28</v>
      </c>
      <c r="AK353" s="439">
        <v>3</v>
      </c>
    </row>
    <row r="354" spans="1:37" s="408" customFormat="1" x14ac:dyDescent="0.25">
      <c r="A354" s="437"/>
      <c r="B354" s="426" t="s">
        <v>49</v>
      </c>
      <c r="C354" s="438" t="str">
        <f>VLOOKUP(Table2[[#This Row],[Course Title]],'TSD-Data'!$A$1:$E$56,2,FALSE)</f>
        <v>A-493-0092</v>
      </c>
      <c r="D354" s="438">
        <f>VLOOKUP(Table2[[#This Row],[Course Title]],'TSD-Data'!$A$1:$E$56,3,FALSE)</f>
        <v>5891</v>
      </c>
      <c r="E354" s="433" t="s">
        <v>198</v>
      </c>
      <c r="F354" s="418">
        <v>45824</v>
      </c>
      <c r="G354" s="418">
        <v>45826</v>
      </c>
      <c r="H354" s="417">
        <v>0.33333333333333331</v>
      </c>
      <c r="I354" s="417"/>
      <c r="J354" s="417"/>
      <c r="K354" s="417"/>
      <c r="L354" s="417"/>
      <c r="M354" s="417"/>
      <c r="N354" s="417"/>
      <c r="O354" s="437" t="s">
        <v>318</v>
      </c>
      <c r="P354" s="437" t="s">
        <v>274</v>
      </c>
      <c r="Q354" s="365"/>
      <c r="R354" s="439">
        <f>VLOOKUP(Table2[[#This Row],[Course Title]],'TSD-Data'!$A$1:$E$56,4,FALSE)</f>
        <v>25</v>
      </c>
      <c r="S354" s="439">
        <f>VLOOKUP(Table2[[#This Row],[Course Title]],'TSD-Data'!$A$1:$F$53,6,FALSE)</f>
        <v>24</v>
      </c>
      <c r="T354" s="439">
        <f>VLOOKUP(Table2[[#This Row],[Course Title]],'TSD-Data'!$A$1:$E$56,5,FALSE)</f>
        <v>3</v>
      </c>
      <c r="U354" s="439">
        <v>72</v>
      </c>
      <c r="V354" s="439">
        <f>Table2[[#This Row],[Quotas]]-Table2[[#This Row],[Open Quotas]]</f>
        <v>4</v>
      </c>
      <c r="W354" s="439">
        <v>0</v>
      </c>
      <c r="X354" s="440"/>
      <c r="Y354" s="440"/>
      <c r="Z354" s="439"/>
      <c r="AA354" s="439"/>
      <c r="AB354" s="439"/>
      <c r="AC354" s="439"/>
      <c r="AD354" s="440">
        <f ca="1">Table2[[#This Row],[End Date]]+2-TODAY()</f>
        <v>51</v>
      </c>
      <c r="AE354" s="439">
        <f>IF(ISBLANK(Table2[[#This Row],[Received by]]),1,0)</f>
        <v>1</v>
      </c>
      <c r="AF354" s="439">
        <f ca="1">IF(Table2[[#This Row],[Start Date]]&gt;TODAY(),1,)</f>
        <v>1</v>
      </c>
      <c r="AG354" s="439">
        <f>IF(ISBLANK(Table2[[#This Row],[Primary Instructor]]),0,1)</f>
        <v>1</v>
      </c>
      <c r="AH354" s="439">
        <f>IF(ISBLANK(Table2[[#This Row],[Instructor 2]]),0,1)</f>
        <v>1</v>
      </c>
      <c r="AI354" s="439">
        <f>Table2[[#This Row],[Course Length (Hours)]]/(SUM(Table2[[#This Row],[1]:[2]]))</f>
        <v>12</v>
      </c>
      <c r="AJ354" s="439">
        <v>21</v>
      </c>
      <c r="AK354" s="439">
        <v>3</v>
      </c>
    </row>
    <row r="355" spans="1:37" s="408" customFormat="1" x14ac:dyDescent="0.25">
      <c r="A355" s="433" t="s">
        <v>443</v>
      </c>
      <c r="B355" s="426" t="s">
        <v>223</v>
      </c>
      <c r="C355" s="438" t="str">
        <f>VLOOKUP(Table2[[#This Row],[Course Title]],'TSD-Data'!$A$1:$E$56,2,FALSE)</f>
        <v>Holiday</v>
      </c>
      <c r="D355" s="438" t="str">
        <f>VLOOKUP(Table2[[#This Row],[Course Title]],'TSD-Data'!$A$1:$E$56,3,FALSE)</f>
        <v>Holiday</v>
      </c>
      <c r="E355" s="433" t="s">
        <v>223</v>
      </c>
      <c r="F355" s="418">
        <v>45827</v>
      </c>
      <c r="G355" s="418">
        <v>45827</v>
      </c>
      <c r="H355" s="417"/>
      <c r="I355" s="417"/>
      <c r="J355" s="418"/>
      <c r="K355" s="418"/>
      <c r="L355" s="418"/>
      <c r="M355" s="418"/>
      <c r="N355" s="418"/>
      <c r="O355" s="437"/>
      <c r="P355" s="437"/>
      <c r="Q355" s="365"/>
      <c r="R355" s="439">
        <f>VLOOKUP(Table2[[#This Row],[Course Title]],'TSD-Data'!$A$1:$E$56,4,FALSE)</f>
        <v>0</v>
      </c>
      <c r="S355" s="439">
        <f>VLOOKUP(Table2[[#This Row],[Course Title]],'TSD-Data'!$A$1:$F$53,6,FALSE)</f>
        <v>0</v>
      </c>
      <c r="T355" s="439">
        <f>VLOOKUP(Table2[[#This Row],[Course Title]],'TSD-Data'!$A$1:$E$56,5,FALSE)</f>
        <v>0</v>
      </c>
      <c r="U355" s="439">
        <v>0</v>
      </c>
      <c r="V355" s="439">
        <f>Table2[[#This Row],[Quotas]]-Table2[[#This Row],[Open Quotas]]</f>
        <v>0</v>
      </c>
      <c r="W355" s="439">
        <v>0</v>
      </c>
      <c r="X355" s="439">
        <v>0</v>
      </c>
      <c r="Y355" s="439">
        <v>0</v>
      </c>
      <c r="Z355" s="439">
        <v>0</v>
      </c>
      <c r="AA355" s="439">
        <v>0</v>
      </c>
      <c r="AB355" s="439">
        <v>0</v>
      </c>
      <c r="AC355" s="439" t="s">
        <v>285</v>
      </c>
      <c r="AD355" s="440">
        <f ca="1">Table2[[#This Row],[End Date]]+2-TODAY()</f>
        <v>52</v>
      </c>
      <c r="AE355" s="439">
        <f>IF(ISBLANK(Table2[[#This Row],[Received by]]),1,0)</f>
        <v>0</v>
      </c>
      <c r="AF355" s="439">
        <f ca="1">IF(Table2[[#This Row],[Start Date]]&gt;TODAY(),1,)</f>
        <v>1</v>
      </c>
      <c r="AG355" s="439">
        <f>IF(ISBLANK(Table2[[#This Row],[Primary Instructor]]),0,1)</f>
        <v>0</v>
      </c>
      <c r="AH355" s="439">
        <f>IF(ISBLANK(Table2[[#This Row],[Instructor 2]]),0,1)</f>
        <v>0</v>
      </c>
      <c r="AI355" s="439" t="e">
        <f>Table2[[#This Row],[Course Length (Hours)]]/(SUM(Table2[[#This Row],[1]:[2]]))</f>
        <v>#DIV/0!</v>
      </c>
      <c r="AJ355" s="439"/>
      <c r="AK355" s="441"/>
    </row>
    <row r="356" spans="1:37" s="408" customFormat="1" x14ac:dyDescent="0.25">
      <c r="A356" s="433" t="s">
        <v>546</v>
      </c>
      <c r="B356" s="426" t="s">
        <v>358</v>
      </c>
      <c r="C356" s="482" t="str">
        <f>VLOOKUP(Table2[[#This Row],[Course Title]],'TSD-Data'!$A$1:$E$56,2,FALSE)</f>
        <v>Reserved</v>
      </c>
      <c r="D356" s="482" t="s">
        <v>360</v>
      </c>
      <c r="E356" s="433" t="s">
        <v>198</v>
      </c>
      <c r="F356" s="418">
        <v>45830</v>
      </c>
      <c r="G356" s="418">
        <v>45832</v>
      </c>
      <c r="H356" s="417"/>
      <c r="I356" s="417"/>
      <c r="J356" s="418"/>
      <c r="K356" s="418"/>
      <c r="L356" s="418"/>
      <c r="M356" s="418"/>
      <c r="N356" s="418"/>
      <c r="O356" s="483"/>
      <c r="P356" s="483"/>
      <c r="Q356" s="429"/>
      <c r="R356" s="484">
        <f>VLOOKUP(Table2[[#This Row],[Course Title]],'TSD-Data'!$A$1:$E$56,4,FALSE)</f>
        <v>0</v>
      </c>
      <c r="S356" s="484">
        <f>VLOOKUP(Table2[[#This Row],[Course Title]],'TSD-Data'!$A$1:$F$53,6,FALSE)</f>
        <v>0</v>
      </c>
      <c r="T356" s="444">
        <v>0</v>
      </c>
      <c r="U356" s="439">
        <v>0</v>
      </c>
      <c r="V356" s="439">
        <f>Table2[[#This Row],[Quotas]]-Table2[[#This Row],[Open Quotas]]</f>
        <v>0</v>
      </c>
      <c r="W356" s="439">
        <v>0</v>
      </c>
      <c r="X356" s="440">
        <v>0</v>
      </c>
      <c r="Y356" s="440">
        <v>0</v>
      </c>
      <c r="Z356" s="484">
        <v>0</v>
      </c>
      <c r="AA356" s="484">
        <v>0</v>
      </c>
      <c r="AB356" s="439">
        <v>0</v>
      </c>
      <c r="AC356" s="439" t="s">
        <v>285</v>
      </c>
      <c r="AD356" s="440">
        <f ca="1">Table2[[#This Row],[End Date]]+2-TODAY()</f>
        <v>57</v>
      </c>
      <c r="AE356" s="484">
        <f>IF(ISBLANK(Table2[[#This Row],[Received by]]),1,0)</f>
        <v>0</v>
      </c>
      <c r="AF356" s="484">
        <f ca="1">IF(Table2[[#This Row],[Start Date]]&gt;TODAY(),1,)</f>
        <v>1</v>
      </c>
      <c r="AG356" s="484">
        <f>IF(ISBLANK(Table2[[#This Row],[Primary Instructor]]),0,1)</f>
        <v>0</v>
      </c>
      <c r="AH356" s="484">
        <f>IF(ISBLANK(Table2[[#This Row],[Instructor 2]]),0,1)</f>
        <v>0</v>
      </c>
      <c r="AI356" s="484" t="e">
        <f>Table2[[#This Row],[Course Length (Hours)]]/(SUM(Table2[[#This Row],[1]:[2]]))</f>
        <v>#DIV/0!</v>
      </c>
      <c r="AJ356" s="484"/>
      <c r="AK356" s="485"/>
    </row>
    <row r="357" spans="1:37" s="408" customFormat="1" x14ac:dyDescent="0.25">
      <c r="A357" s="437"/>
      <c r="B357" s="426" t="s">
        <v>37</v>
      </c>
      <c r="C357" s="438" t="str">
        <f>VLOOKUP(Table2[[#This Row],[Course Title]],'TSD-Data'!$A$1:$E$56,2,FALSE)</f>
        <v>A-493-0665</v>
      </c>
      <c r="D357" s="438" t="str">
        <f>VLOOKUP(Table2[[#This Row],[Course Title]],'TSD-Data'!$A$1:$E$56,3,FALSE)</f>
        <v>10KW</v>
      </c>
      <c r="E357" s="433" t="s">
        <v>86</v>
      </c>
      <c r="F357" s="452">
        <v>45831</v>
      </c>
      <c r="G357" s="418">
        <v>45833</v>
      </c>
      <c r="H357" s="418"/>
      <c r="I357" s="443">
        <v>0.79166666666666663</v>
      </c>
      <c r="J357" s="443">
        <v>0.66666666666666663</v>
      </c>
      <c r="K357" s="443">
        <v>8.3333333333333329E-2</v>
      </c>
      <c r="L357" s="443">
        <v>0</v>
      </c>
      <c r="M357" s="443">
        <v>0.54166666666666663</v>
      </c>
      <c r="N357" s="443">
        <v>0.33333333333333331</v>
      </c>
      <c r="O357" s="437" t="s">
        <v>286</v>
      </c>
      <c r="P357" s="437"/>
      <c r="Q357" s="365"/>
      <c r="R357" s="439">
        <f>VLOOKUP(Table2[[#This Row],[Course Title]],'TSD-Data'!$A$1:$E$56,4,FALSE)</f>
        <v>45</v>
      </c>
      <c r="S357" s="439">
        <f>VLOOKUP(Table2[[#This Row],[Course Title]],'TSD-Data'!$A$1:$F$53,6,FALSE)</f>
        <v>24</v>
      </c>
      <c r="T357" s="439">
        <f>VLOOKUP(Table2[[#This Row],[Course Title]],'TSD-Data'!$A$1:$E$56,5,FALSE)</f>
        <v>3</v>
      </c>
      <c r="U357" s="439">
        <v>39</v>
      </c>
      <c r="V357" s="439">
        <f>Table2[[#This Row],[Quotas]]-Table2[[#This Row],[Open Quotas]]</f>
        <v>10</v>
      </c>
      <c r="W357" s="439">
        <v>0</v>
      </c>
      <c r="X357" s="439"/>
      <c r="Y357" s="440"/>
      <c r="Z357" s="439"/>
      <c r="AA357" s="439"/>
      <c r="AB357" s="438"/>
      <c r="AC357" s="439"/>
      <c r="AD357" s="440">
        <f ca="1">Table2[[#This Row],[End Date]]+2-TODAY()</f>
        <v>58</v>
      </c>
      <c r="AE357" s="439">
        <f>IF(ISBLANK(Table2[[#This Row],[Received by]]),1,0)</f>
        <v>1</v>
      </c>
      <c r="AF357" s="439">
        <f ca="1">IF(Table2[[#This Row],[Start Date]]&gt;TODAY(),1,)</f>
        <v>1</v>
      </c>
      <c r="AG357" s="439">
        <f>IF(ISBLANK(Table2[[#This Row],[Primary Instructor]]),0,1)</f>
        <v>1</v>
      </c>
      <c r="AH357" s="439">
        <f>IF(ISBLANK(Table2[[#This Row],[Instructor 2]]),0,1)</f>
        <v>0</v>
      </c>
      <c r="AI357" s="439">
        <f>Table2[[#This Row],[Course Length (Hours)]]/(SUM(Table2[[#This Row],[1]:[2]]))</f>
        <v>24</v>
      </c>
      <c r="AJ357" s="439">
        <v>35</v>
      </c>
      <c r="AK357" s="439">
        <v>3</v>
      </c>
    </row>
    <row r="358" spans="1:37" s="408" customFormat="1" x14ac:dyDescent="0.25">
      <c r="A358" s="431"/>
      <c r="B358" s="426" t="s">
        <v>56</v>
      </c>
      <c r="C358" s="427" t="str">
        <f>VLOOKUP(Table2[[#This Row],[Course Title]],'TSD-Data'!$A$1:$E$56,2,FALSE)</f>
        <v>A-493-0021</v>
      </c>
      <c r="D358" s="427" t="str">
        <f>VLOOKUP(Table2[[#This Row],[Course Title]],'TSD-Data'!$A$1:$E$56,3,FALSE)</f>
        <v>18BN</v>
      </c>
      <c r="E358" s="433" t="s">
        <v>212</v>
      </c>
      <c r="F358" s="418">
        <v>45831</v>
      </c>
      <c r="G358" s="418">
        <v>45835</v>
      </c>
      <c r="H358" s="422">
        <v>0.33333333333333331</v>
      </c>
      <c r="I358" s="423"/>
      <c r="J358" s="424"/>
      <c r="K358" s="424"/>
      <c r="L358" s="424"/>
      <c r="M358" s="424"/>
      <c r="N358" s="442"/>
      <c r="O358" s="429" t="s">
        <v>314</v>
      </c>
      <c r="P358" s="429"/>
      <c r="Q358" s="365"/>
      <c r="R358" s="414">
        <f>VLOOKUP(Table2[[#This Row],[Course Title]],'TSD-Data'!$A$1:$E$56,4,FALSE)</f>
        <v>35</v>
      </c>
      <c r="S358" s="414">
        <f>VLOOKUP(Table2[[#This Row],[Course Title]],'TSD-Data'!$A$1:$F$53,6,FALSE)</f>
        <v>30</v>
      </c>
      <c r="T358" s="414">
        <f>VLOOKUP(Table2[[#This Row],[Course Title]],'TSD-Data'!$A$1:$E$56,5,FALSE)</f>
        <v>5</v>
      </c>
      <c r="U358" s="414">
        <v>60</v>
      </c>
      <c r="V358" s="414">
        <f>Table2[[#This Row],[Quotas]]-Table2[[#This Row],[Open Quotas]]</f>
        <v>15</v>
      </c>
      <c r="W358" s="414">
        <v>0</v>
      </c>
      <c r="X358" s="414"/>
      <c r="Y358" s="419"/>
      <c r="Z358" s="414"/>
      <c r="AA358" s="414"/>
      <c r="AB358" s="414"/>
      <c r="AC358" s="414"/>
      <c r="AD358" s="419">
        <f ca="1">Table2[[#This Row],[End Date]]+2-TODAY()</f>
        <v>60</v>
      </c>
      <c r="AE358" s="414">
        <f>IF(ISBLANK(Table2[[#This Row],[Received by]]),1,0)</f>
        <v>1</v>
      </c>
      <c r="AF358" s="414">
        <f ca="1">IF(Table2[[#This Row],[Start Date]]&gt;TODAY(),1,)</f>
        <v>1</v>
      </c>
      <c r="AG358" s="414">
        <f>IF(ISBLANK(Table2[[#This Row],[Primary Instructor]]),0,1)</f>
        <v>1</v>
      </c>
      <c r="AH358" s="414">
        <f>IF(ISBLANK(Table2[[#This Row],[Instructor 2]]),0,1)</f>
        <v>0</v>
      </c>
      <c r="AI358" s="414">
        <f>Table2[[#This Row],[Course Length (Hours)]]/(SUM(Table2[[#This Row],[1]:[2]]))</f>
        <v>30</v>
      </c>
      <c r="AJ358" s="414">
        <v>20</v>
      </c>
      <c r="AK358" s="414">
        <v>3</v>
      </c>
    </row>
    <row r="359" spans="1:37" s="408" customFormat="1" x14ac:dyDescent="0.25">
      <c r="A359" s="429"/>
      <c r="B359" s="426" t="s">
        <v>17</v>
      </c>
      <c r="C359" s="427" t="str">
        <f>VLOOKUP(Table2[[#This Row],[Course Title]],'TSD-Data'!$A$1:$E$56,2,FALSE)</f>
        <v>A-493-0012</v>
      </c>
      <c r="D359" s="427">
        <f>VLOOKUP(Table2[[#This Row],[Course Title]],'TSD-Data'!$A$1:$E$56,3,FALSE)</f>
        <v>3682</v>
      </c>
      <c r="E359" s="433" t="s">
        <v>162</v>
      </c>
      <c r="F359" s="420">
        <v>45831</v>
      </c>
      <c r="G359" s="420">
        <v>45835</v>
      </c>
      <c r="H359" s="422">
        <v>0.33333333333333331</v>
      </c>
      <c r="I359" s="421"/>
      <c r="J359" s="421"/>
      <c r="K359" s="421"/>
      <c r="L359" s="421"/>
      <c r="M359" s="421"/>
      <c r="N359" s="421"/>
      <c r="O359" s="429" t="s">
        <v>283</v>
      </c>
      <c r="P359" s="429"/>
      <c r="Q359" s="365"/>
      <c r="R359" s="414">
        <f>VLOOKUP(Table2[[#This Row],[Course Title]],'TSD-Data'!$A$1:$E$56,4,FALSE)</f>
        <v>40</v>
      </c>
      <c r="S359" s="414">
        <f>VLOOKUP(Table2[[#This Row],[Course Title]],'TSD-Data'!$A$1:$F$53,6,FALSE)</f>
        <v>40</v>
      </c>
      <c r="T359" s="414">
        <f>VLOOKUP(Table2[[#This Row],[Course Title]],'TSD-Data'!$A$1:$E$56,5,FALSE)</f>
        <v>5</v>
      </c>
      <c r="U359" s="414">
        <v>15</v>
      </c>
      <c r="V359" s="414">
        <f>Table2[[#This Row],[Quotas]]-Table2[[#This Row],[Open Quotas]]</f>
        <v>40</v>
      </c>
      <c r="W359" s="414">
        <v>0</v>
      </c>
      <c r="X359" s="414"/>
      <c r="Y359" s="419"/>
      <c r="Z359" s="414"/>
      <c r="AA359" s="414"/>
      <c r="AB359" s="427"/>
      <c r="AC359" s="414"/>
      <c r="AD359" s="419">
        <f ca="1">Table2[[#This Row],[End Date]]+2-TODAY()</f>
        <v>60</v>
      </c>
      <c r="AE359" s="414">
        <f>IF(ISBLANK(Table2[[#This Row],[Received by]]),1,0)</f>
        <v>1</v>
      </c>
      <c r="AF359" s="414">
        <f ca="1">IF(Table2[[#This Row],[Start Date]]&gt;TODAY(),1,)</f>
        <v>1</v>
      </c>
      <c r="AG359" s="414">
        <f>IF(ISBLANK(Table2[[#This Row],[Primary Instructor]]),0,1)</f>
        <v>1</v>
      </c>
      <c r="AH359" s="414">
        <f>IF(ISBLANK(Table2[[#This Row],[Instructor 2]]),0,1)</f>
        <v>0</v>
      </c>
      <c r="AI359" s="414">
        <f>Table2[[#This Row],[Course Length (Hours)]]/(SUM(Table2[[#This Row],[1]:[2]]))</f>
        <v>40</v>
      </c>
      <c r="AJ359" s="414">
        <v>0</v>
      </c>
      <c r="AK359" s="414">
        <v>3</v>
      </c>
    </row>
    <row r="360" spans="1:37" s="408" customFormat="1" x14ac:dyDescent="0.25">
      <c r="A360" s="429"/>
      <c r="B360" s="426" t="s">
        <v>38</v>
      </c>
      <c r="C360" s="427" t="str">
        <f>VLOOKUP(Table2[[#This Row],[Course Title]],'TSD-Data'!$A$1:$E$56,2,FALSE)</f>
        <v>A-493-0061</v>
      </c>
      <c r="D360" s="427" t="str">
        <f>VLOOKUP(Table2[[#This Row],[Course Title]],'TSD-Data'!$A$1:$E$56,3,FALSE)</f>
        <v>288E</v>
      </c>
      <c r="E360" s="425" t="s">
        <v>86</v>
      </c>
      <c r="F360" s="420">
        <v>45831</v>
      </c>
      <c r="G360" s="420">
        <v>45834</v>
      </c>
      <c r="H360" s="422"/>
      <c r="I360" s="422">
        <v>0.79166666666666663</v>
      </c>
      <c r="J360" s="421">
        <v>0.66666666666666663</v>
      </c>
      <c r="K360" s="421">
        <v>8.3333333333333329E-2</v>
      </c>
      <c r="L360" s="421">
        <v>0</v>
      </c>
      <c r="M360" s="421">
        <v>0.54166666666666663</v>
      </c>
      <c r="N360" s="421">
        <v>0.33333333333333331</v>
      </c>
      <c r="O360" s="429" t="s">
        <v>303</v>
      </c>
      <c r="P360" s="429"/>
      <c r="Q360" s="365"/>
      <c r="R360" s="419">
        <f>VLOOKUP(Table2[[#This Row],[Course Title]],'TSD-Data'!$A$1:$E$56,4,FALSE)</f>
        <v>45</v>
      </c>
      <c r="S360" s="414">
        <f>VLOOKUP(Table2[[#This Row],[Course Title]],'TSD-Data'!$A$1:$F$53,6,FALSE)</f>
        <v>30</v>
      </c>
      <c r="T360" s="414">
        <f>VLOOKUP(Table2[[#This Row],[Course Title]],'TSD-Data'!$A$1:$E$56,5,FALSE)</f>
        <v>4</v>
      </c>
      <c r="U360" s="414">
        <v>119</v>
      </c>
      <c r="V360" s="414">
        <f>Table2[[#This Row],[Quotas]]-Table2[[#This Row],[Open Quotas]]</f>
        <v>12</v>
      </c>
      <c r="W360" s="414">
        <v>0</v>
      </c>
      <c r="X360" s="419"/>
      <c r="Y360" s="419"/>
      <c r="Z360" s="414"/>
      <c r="AA360" s="414"/>
      <c r="AB360" s="414"/>
      <c r="AC360" s="414"/>
      <c r="AD360" s="419">
        <f ca="1">Table2[[#This Row],[End Date]]+2-TODAY()</f>
        <v>59</v>
      </c>
      <c r="AE360" s="414">
        <f>IF(ISBLANK(Table2[[#This Row],[Received by]]),1,0)</f>
        <v>1</v>
      </c>
      <c r="AF360" s="414">
        <f ca="1">IF(Table2[[#This Row],[Start Date]]&gt;TODAY(),1,)</f>
        <v>1</v>
      </c>
      <c r="AG360" s="414">
        <f>IF(ISBLANK(Table2[[#This Row],[Primary Instructor]]),0,1)</f>
        <v>1</v>
      </c>
      <c r="AH360" s="414">
        <f>IF(ISBLANK(Table2[[#This Row],[Instructor 2]]),0,1)</f>
        <v>0</v>
      </c>
      <c r="AI360" s="414">
        <f>Table2[[#This Row],[Course Length (Hours)]]/(SUM(Table2[[#This Row],[1]:[2]]))</f>
        <v>30</v>
      </c>
      <c r="AJ360" s="414">
        <v>33</v>
      </c>
      <c r="AK360" s="414">
        <v>3</v>
      </c>
    </row>
    <row r="361" spans="1:37" s="408" customFormat="1" x14ac:dyDescent="0.25">
      <c r="A361" s="429"/>
      <c r="B361" s="426" t="s">
        <v>120</v>
      </c>
      <c r="C361" s="427" t="str">
        <f>VLOOKUP(Table2[[#This Row],[Course Title]],'TSD-Data'!$A$1:$E$56,2,FALSE)</f>
        <v>A-322-2604</v>
      </c>
      <c r="D361" s="427" t="str">
        <f>VLOOKUP(Table2[[#This Row],[Course Title]],'TSD-Data'!$A$1:$E$56,3,FALSE)</f>
        <v>10ZZ</v>
      </c>
      <c r="E361" s="425" t="s">
        <v>86</v>
      </c>
      <c r="F361" s="418">
        <v>45831</v>
      </c>
      <c r="G361" s="418">
        <v>45833</v>
      </c>
      <c r="H361" s="422"/>
      <c r="I361" s="421">
        <v>0.5</v>
      </c>
      <c r="J361" s="421">
        <v>0.375</v>
      </c>
      <c r="K361" s="421">
        <v>0.79166666666666663</v>
      </c>
      <c r="L361" s="421">
        <v>0.75</v>
      </c>
      <c r="M361" s="421">
        <v>0.25</v>
      </c>
      <c r="N361" s="421">
        <v>4.1666666666666664E-2</v>
      </c>
      <c r="O361" s="389" t="s">
        <v>288</v>
      </c>
      <c r="P361" s="429"/>
      <c r="Q361" s="365"/>
      <c r="R361" s="414">
        <f>VLOOKUP(Table2[[#This Row],[Course Title]],'TSD-Data'!$A$1:$E$56,4,FALSE)</f>
        <v>45</v>
      </c>
      <c r="S361" s="414">
        <f>VLOOKUP(Table2[[#This Row],[Course Title]],'TSD-Data'!$A$1:$F$53,6,FALSE)</f>
        <v>24</v>
      </c>
      <c r="T361" s="414">
        <f>VLOOKUP(Table2[[#This Row],[Course Title]],'TSD-Data'!$A$1:$E$56,5,FALSE)</f>
        <v>3</v>
      </c>
      <c r="U361" s="414">
        <v>634</v>
      </c>
      <c r="V361" s="414">
        <f>Table2[[#This Row],[Quotas]]-Table2[[#This Row],[Open Quotas]]</f>
        <v>19</v>
      </c>
      <c r="W361" s="414">
        <v>0</v>
      </c>
      <c r="X361" s="414"/>
      <c r="Y361" s="419"/>
      <c r="Z361" s="414"/>
      <c r="AA361" s="414"/>
      <c r="AB361" s="414"/>
      <c r="AC361" s="414"/>
      <c r="AD361" s="419">
        <f ca="1">Table2[[#This Row],[End Date]]+2-TODAY()</f>
        <v>58</v>
      </c>
      <c r="AE361" s="414">
        <f>IF(ISBLANK(Table2[[#This Row],[Received by]]),1,0)</f>
        <v>1</v>
      </c>
      <c r="AF361" s="414">
        <f ca="1">IF(Table2[[#This Row],[Start Date]]&gt;TODAY(),1,)</f>
        <v>1</v>
      </c>
      <c r="AG361" s="414">
        <f>IF(ISBLANK(Table2[[#This Row],[Primary Instructor]]),0,1)</f>
        <v>1</v>
      </c>
      <c r="AH361" s="414">
        <f>IF(ISBLANK(Table2[[#This Row],[Instructor 2]]),0,1)</f>
        <v>0</v>
      </c>
      <c r="AI361" s="414">
        <f>Table2[[#This Row],[Course Length (Hours)]]/(SUM(Table2[[#This Row],[1]:[2]]))</f>
        <v>24</v>
      </c>
      <c r="AJ361" s="414">
        <v>26</v>
      </c>
      <c r="AK361" s="414">
        <v>3</v>
      </c>
    </row>
    <row r="362" spans="1:37" s="373" customFormat="1" x14ac:dyDescent="0.25">
      <c r="A362" s="437"/>
      <c r="B362" s="426" t="s">
        <v>31</v>
      </c>
      <c r="C362" s="438" t="str">
        <f>VLOOKUP(Table2[[#This Row],[Course Title]],'TSD-Data'!$A$1:$E$56,2,FALSE)</f>
        <v>A-493-0083</v>
      </c>
      <c r="D362" s="438" t="str">
        <f>VLOOKUP(Table2[[#This Row],[Course Title]],'TSD-Data'!$A$1:$E$56,3,FALSE)</f>
        <v>339E</v>
      </c>
      <c r="E362" s="433" t="s">
        <v>86</v>
      </c>
      <c r="F362" s="418">
        <v>45831</v>
      </c>
      <c r="G362" s="418">
        <v>45831</v>
      </c>
      <c r="H362" s="417"/>
      <c r="I362" s="417">
        <v>0.45833333333333331</v>
      </c>
      <c r="J362" s="417">
        <v>0.33333333333333331</v>
      </c>
      <c r="K362" s="417">
        <v>0.75</v>
      </c>
      <c r="L362" s="417">
        <v>0.66666666666666663</v>
      </c>
      <c r="M362" s="417">
        <v>0.20833333333333334</v>
      </c>
      <c r="N362" s="417">
        <v>0</v>
      </c>
      <c r="O362" s="437" t="s">
        <v>280</v>
      </c>
      <c r="P362" s="437"/>
      <c r="Q362" s="365"/>
      <c r="R362" s="440">
        <f>VLOOKUP(Table2[[#This Row],[Course Title]],'TSD-Data'!$A$1:$E$56,4,FALSE)</f>
        <v>30</v>
      </c>
      <c r="S362" s="439">
        <f>VLOOKUP(Table2[[#This Row],[Course Title]],'TSD-Data'!$A$1:$F$53,6,FALSE)</f>
        <v>8</v>
      </c>
      <c r="T362" s="444">
        <f>VLOOKUP(Table2[[#This Row],[Course Title]],'TSD-Data'!$A$1:$E$56,5,FALSE)</f>
        <v>1</v>
      </c>
      <c r="U362" s="444">
        <v>0</v>
      </c>
      <c r="V362" s="439">
        <f>Table2[[#This Row],[Quotas]]-Table2[[#This Row],[Open Quotas]]</f>
        <v>30</v>
      </c>
      <c r="W362" s="439">
        <v>0</v>
      </c>
      <c r="X362" s="440"/>
      <c r="Y362" s="440"/>
      <c r="Z362" s="439"/>
      <c r="AA362" s="439"/>
      <c r="AB362" s="438"/>
      <c r="AC362" s="439"/>
      <c r="AD362" s="440">
        <f ca="1">Table2[[#This Row],[End Date]]+2-TODAY()</f>
        <v>56</v>
      </c>
      <c r="AE362" s="439">
        <f>IF(ISBLANK(Table2[[#This Row],[Received by]]),1,0)</f>
        <v>1</v>
      </c>
      <c r="AF362" s="439">
        <f ca="1">IF(Table2[[#This Row],[Start Date]]&gt;TODAY(),1,)</f>
        <v>1</v>
      </c>
      <c r="AG362" s="439">
        <f>IF(ISBLANK(Table2[[#This Row],[Primary Instructor]]),0,1)</f>
        <v>1</v>
      </c>
      <c r="AH362" s="439">
        <f>IF(ISBLANK(Table2[[#This Row],[Instructor 2]]),0,1)</f>
        <v>0</v>
      </c>
      <c r="AI362" s="439">
        <f>Table2[[#This Row],[Course Length (Hours)]]/(SUM(Table2[[#This Row],[1]:[2]]))</f>
        <v>8</v>
      </c>
      <c r="AJ362" s="439">
        <v>0</v>
      </c>
      <c r="AK362" s="439">
        <v>3</v>
      </c>
    </row>
    <row r="363" spans="1:37" s="408" customFormat="1" x14ac:dyDescent="0.25">
      <c r="A363" s="437"/>
      <c r="B363" s="426" t="s">
        <v>51</v>
      </c>
      <c r="C363" s="438" t="str">
        <f>VLOOKUP(Table2[[#This Row],[Course Title]],'TSD-Data'!$A$1:$E$56,2,FALSE)</f>
        <v>A-493-0335</v>
      </c>
      <c r="D363" s="438" t="str">
        <f>VLOOKUP(Table2[[#This Row],[Course Title]],'TSD-Data'!$A$1:$E$56,3,FALSE)</f>
        <v>09ND</v>
      </c>
      <c r="E363" s="433" t="s">
        <v>86</v>
      </c>
      <c r="F363" s="418">
        <v>45831</v>
      </c>
      <c r="G363" s="418">
        <v>45834</v>
      </c>
      <c r="H363" s="418"/>
      <c r="I363" s="417">
        <v>0.79166666666666663</v>
      </c>
      <c r="J363" s="443">
        <v>0.66666666666666663</v>
      </c>
      <c r="K363" s="443">
        <v>8.3333333333333329E-2</v>
      </c>
      <c r="L363" s="443">
        <v>0</v>
      </c>
      <c r="M363" s="443">
        <v>0.54166666666666663</v>
      </c>
      <c r="N363" s="443">
        <v>0.33333333333333331</v>
      </c>
      <c r="O363" s="437" t="s">
        <v>318</v>
      </c>
      <c r="P363" s="437"/>
      <c r="Q363" s="365"/>
      <c r="R363" s="439">
        <f>VLOOKUP(Table2[[#This Row],[Course Title]],'TSD-Data'!$A$1:$E$56,4,FALSE)</f>
        <v>45</v>
      </c>
      <c r="S363" s="439">
        <f>VLOOKUP(Table2[[#This Row],[Course Title]],'TSD-Data'!$A$1:$F$53,6,FALSE)</f>
        <v>32</v>
      </c>
      <c r="T363" s="439">
        <f>VLOOKUP(Table2[[#This Row],[Course Title]],'TSD-Data'!$A$1:$E$56,5,FALSE)</f>
        <v>4</v>
      </c>
      <c r="U363" s="439">
        <v>112</v>
      </c>
      <c r="V363" s="439">
        <f>Table2[[#This Row],[Quotas]]-Table2[[#This Row],[Open Quotas]]</f>
        <v>7</v>
      </c>
      <c r="W363" s="439">
        <v>0</v>
      </c>
      <c r="X363" s="439"/>
      <c r="Y363" s="440"/>
      <c r="Z363" s="439"/>
      <c r="AA363" s="439"/>
      <c r="AB363" s="439"/>
      <c r="AC363" s="439"/>
      <c r="AD363" s="440">
        <f ca="1">Table2[[#This Row],[End Date]]+2-TODAY()</f>
        <v>59</v>
      </c>
      <c r="AE363" s="439">
        <f>IF(ISBLANK(Table2[[#This Row],[Received by]]),1,0)</f>
        <v>1</v>
      </c>
      <c r="AF363" s="439">
        <f ca="1">IF(Table2[[#This Row],[Start Date]]&gt;TODAY(),1,)</f>
        <v>1</v>
      </c>
      <c r="AG363" s="439">
        <f>IF(ISBLANK(Table2[[#This Row],[Primary Instructor]]),0,1)</f>
        <v>1</v>
      </c>
      <c r="AH363" s="439">
        <f>IF(ISBLANK(Table2[[#This Row],[Instructor 2]]),0,1)</f>
        <v>0</v>
      </c>
      <c r="AI363" s="439">
        <f>Table2[[#This Row],[Course Length (Hours)]]/(SUM(Table2[[#This Row],[1]:[2]]))</f>
        <v>32</v>
      </c>
      <c r="AJ363" s="439">
        <v>38</v>
      </c>
      <c r="AK363" s="439">
        <v>3</v>
      </c>
    </row>
    <row r="364" spans="1:37" s="408" customFormat="1" x14ac:dyDescent="0.25">
      <c r="A364" s="437"/>
      <c r="B364" s="426" t="s">
        <v>59</v>
      </c>
      <c r="C364" s="438" t="str">
        <f>VLOOKUP(Table2[[#This Row],[Course Title]],'TSD-Data'!$A$1:$E$56,2,FALSE)</f>
        <v>A-493-0550</v>
      </c>
      <c r="D364" s="438" t="str">
        <f>VLOOKUP(Table2[[#This Row],[Course Title]],'TSD-Data'!$A$1:$E$56,3,FALSE)</f>
        <v>09K5</v>
      </c>
      <c r="E364" s="433" t="s">
        <v>86</v>
      </c>
      <c r="F364" s="418">
        <v>45831</v>
      </c>
      <c r="G364" s="418">
        <v>45834</v>
      </c>
      <c r="H364" s="418"/>
      <c r="I364" s="443">
        <v>0.79166666666666663</v>
      </c>
      <c r="J364" s="443">
        <v>0.66666666666666663</v>
      </c>
      <c r="K364" s="443">
        <v>8.3333333333333329E-2</v>
      </c>
      <c r="L364" s="443">
        <v>0</v>
      </c>
      <c r="M364" s="443">
        <v>0.54166666666666663</v>
      </c>
      <c r="N364" s="443">
        <v>0.33333333333333331</v>
      </c>
      <c r="O364" s="437" t="s">
        <v>301</v>
      </c>
      <c r="P364" s="437"/>
      <c r="Q364" s="365"/>
      <c r="R364" s="439">
        <f>VLOOKUP(Table2[[#This Row],[Course Title]],'TSD-Data'!$A$1:$E$56,4,FALSE)</f>
        <v>45</v>
      </c>
      <c r="S364" s="439">
        <f>VLOOKUP(Table2[[#This Row],[Course Title]],'TSD-Data'!$A$1:$F$53,6,FALSE)</f>
        <v>32</v>
      </c>
      <c r="T364" s="439">
        <f>VLOOKUP(Table2[[#This Row],[Course Title]],'TSD-Data'!$A$1:$E$56,5,FALSE)</f>
        <v>4</v>
      </c>
      <c r="U364" s="439">
        <v>266</v>
      </c>
      <c r="V364" s="439">
        <f>Table2[[#This Row],[Quotas]]-Table2[[#This Row],[Open Quotas]]</f>
        <v>24</v>
      </c>
      <c r="W364" s="439">
        <v>0</v>
      </c>
      <c r="X364" s="439"/>
      <c r="Y364" s="440"/>
      <c r="Z364" s="439"/>
      <c r="AA364" s="439"/>
      <c r="AB364" s="439"/>
      <c r="AC364" s="439"/>
      <c r="AD364" s="440">
        <f ca="1">Table2[[#This Row],[End Date]]+2-TODAY()</f>
        <v>59</v>
      </c>
      <c r="AE364" s="439">
        <f>IF(ISBLANK(Table2[[#This Row],[Received by]]),1,0)</f>
        <v>1</v>
      </c>
      <c r="AF364" s="439">
        <f ca="1">IF(Table2[[#This Row],[Start Date]]&gt;TODAY(),1,)</f>
        <v>1</v>
      </c>
      <c r="AG364" s="439">
        <f>IF(ISBLANK(Table2[[#This Row],[Primary Instructor]]),0,1)</f>
        <v>1</v>
      </c>
      <c r="AH364" s="439">
        <f>IF(ISBLANK(Table2[[#This Row],[Instructor 2]]),0,1)</f>
        <v>0</v>
      </c>
      <c r="AI364" s="439">
        <f>Table2[[#This Row],[Course Length (Hours)]]/(SUM(Table2[[#This Row],[1]:[2]]))</f>
        <v>32</v>
      </c>
      <c r="AJ364" s="439">
        <v>21</v>
      </c>
      <c r="AK364" s="439">
        <v>3</v>
      </c>
    </row>
    <row r="365" spans="1:37" s="408" customFormat="1" x14ac:dyDescent="0.25">
      <c r="A365" s="450"/>
      <c r="B365" s="426" t="s">
        <v>61</v>
      </c>
      <c r="C365" s="438" t="str">
        <f>VLOOKUP(Table2[[#This Row],[Course Title]],'TSD-Data'!$A$1:$E$56,2,FALSE)</f>
        <v>A-493-0078</v>
      </c>
      <c r="D365" s="438">
        <f>VLOOKUP(Table2[[#This Row],[Course Title]],'TSD-Data'!$A$1:$E$56,3,FALSE)</f>
        <v>1228</v>
      </c>
      <c r="E365" s="433" t="s">
        <v>86</v>
      </c>
      <c r="F365" s="418">
        <v>45831</v>
      </c>
      <c r="G365" s="418">
        <v>45834</v>
      </c>
      <c r="H365" s="417"/>
      <c r="I365" s="417">
        <v>0.79166666666666663</v>
      </c>
      <c r="J365" s="443">
        <v>0.66666666666666663</v>
      </c>
      <c r="K365" s="443">
        <v>8.3333333333333329E-2</v>
      </c>
      <c r="L365" s="443">
        <v>0</v>
      </c>
      <c r="M365" s="443">
        <v>0.54166666666666663</v>
      </c>
      <c r="N365" s="443">
        <v>0.33333333333333331</v>
      </c>
      <c r="O365" s="437" t="s">
        <v>304</v>
      </c>
      <c r="P365" s="437"/>
      <c r="Q365" s="365"/>
      <c r="R365" s="439">
        <f>VLOOKUP(Table2[[#This Row],[Course Title]],'TSD-Data'!$A$1:$E$56,4,FALSE)</f>
        <v>45</v>
      </c>
      <c r="S365" s="439">
        <f>VLOOKUP(Table2[[#This Row],[Course Title]],'TSD-Data'!$A$1:$F$53,6,FALSE)</f>
        <v>32</v>
      </c>
      <c r="T365" s="439">
        <f>VLOOKUP(Table2[[#This Row],[Course Title]],'TSD-Data'!$A$1:$E$56,5,FALSE)</f>
        <v>4</v>
      </c>
      <c r="U365" s="439">
        <v>249</v>
      </c>
      <c r="V365" s="439">
        <f>Table2[[#This Row],[Quotas]]-Table2[[#This Row],[Open Quotas]]</f>
        <v>8</v>
      </c>
      <c r="W365" s="439">
        <v>0</v>
      </c>
      <c r="X365" s="440"/>
      <c r="Y365" s="440"/>
      <c r="Z365" s="439"/>
      <c r="AA365" s="439"/>
      <c r="AB365" s="438"/>
      <c r="AC365" s="439"/>
      <c r="AD365" s="440">
        <f ca="1">Table2[[#This Row],[End Date]]+2-TODAY()</f>
        <v>59</v>
      </c>
      <c r="AE365" s="439">
        <f>IF(ISBLANK(Table2[[#This Row],[Received by]]),1,0)</f>
        <v>1</v>
      </c>
      <c r="AF365" s="439">
        <f ca="1">IF(Table2[[#This Row],[Start Date]]&gt;TODAY(),1,)</f>
        <v>1</v>
      </c>
      <c r="AG365" s="439">
        <f>IF(ISBLANK(Table2[[#This Row],[Primary Instructor]]),0,1)</f>
        <v>1</v>
      </c>
      <c r="AH365" s="439">
        <f>IF(ISBLANK(Table2[[#This Row],[Instructor 2]]),0,1)</f>
        <v>0</v>
      </c>
      <c r="AI365" s="439">
        <f>Table2[[#This Row],[Course Length (Hours)]]/(SUM(Table2[[#This Row],[1]:[2]]))</f>
        <v>32</v>
      </c>
      <c r="AJ365" s="439">
        <v>37</v>
      </c>
      <c r="AK365" s="439">
        <v>3</v>
      </c>
    </row>
    <row r="366" spans="1:37" s="408" customFormat="1" x14ac:dyDescent="0.25">
      <c r="A366" s="437"/>
      <c r="B366" s="426" t="s">
        <v>52</v>
      </c>
      <c r="C366" s="438" t="str">
        <f>VLOOKUP(Table2[[#This Row],[Course Title]],'TSD-Data'!$A$1:$E$56,2,FALSE)</f>
        <v>A-493-0085</v>
      </c>
      <c r="D366" s="438">
        <f>VLOOKUP(Table2[[#This Row],[Course Title]],'TSD-Data'!$A$1:$E$56,3,FALSE)</f>
        <v>3555</v>
      </c>
      <c r="E366" s="433" t="s">
        <v>86</v>
      </c>
      <c r="F366" s="418">
        <v>45831</v>
      </c>
      <c r="G366" s="418">
        <v>45834</v>
      </c>
      <c r="H366" s="417"/>
      <c r="I366" s="443">
        <v>0.5</v>
      </c>
      <c r="J366" s="443">
        <v>0.375</v>
      </c>
      <c r="K366" s="443">
        <v>0.79166666666666663</v>
      </c>
      <c r="L366" s="443">
        <v>0.75</v>
      </c>
      <c r="M366" s="443">
        <v>0.25</v>
      </c>
      <c r="N366" s="443">
        <v>4.1666666666666664E-2</v>
      </c>
      <c r="O366" s="437" t="s">
        <v>316</v>
      </c>
      <c r="P366" s="437"/>
      <c r="Q366" s="365"/>
      <c r="R366" s="439">
        <f>VLOOKUP(Table2[[#This Row],[Course Title]],'TSD-Data'!$A$1:$E$56,4,FALSE)</f>
        <v>45</v>
      </c>
      <c r="S366" s="439">
        <f>VLOOKUP(Table2[[#This Row],[Course Title]],'TSD-Data'!$A$1:$F$53,6,FALSE)</f>
        <v>32</v>
      </c>
      <c r="T366" s="439">
        <f>VLOOKUP(Table2[[#This Row],[Course Title]],'TSD-Data'!$A$1:$E$56,5,FALSE)</f>
        <v>4</v>
      </c>
      <c r="U366" s="439">
        <v>503</v>
      </c>
      <c r="V366" s="439">
        <f>Table2[[#This Row],[Quotas]]-Table2[[#This Row],[Open Quotas]]</f>
        <v>6</v>
      </c>
      <c r="W366" s="439">
        <v>0</v>
      </c>
      <c r="X366" s="439"/>
      <c r="Y366" s="440"/>
      <c r="Z366" s="439"/>
      <c r="AA366" s="439"/>
      <c r="AB366" s="439"/>
      <c r="AC366" s="439"/>
      <c r="AD366" s="440">
        <f ca="1">Table2[[#This Row],[End Date]]+2-TODAY()</f>
        <v>59</v>
      </c>
      <c r="AE366" s="439">
        <f>IF(ISBLANK(Table2[[#This Row],[Received by]]),1,0)</f>
        <v>1</v>
      </c>
      <c r="AF366" s="439">
        <f ca="1">IF(Table2[[#This Row],[Start Date]]&gt;TODAY(),1,)</f>
        <v>1</v>
      </c>
      <c r="AG366" s="439">
        <f>IF(ISBLANK(Table2[[#This Row],[Primary Instructor]]),0,1)</f>
        <v>1</v>
      </c>
      <c r="AH366" s="439">
        <f>IF(ISBLANK(Table2[[#This Row],[Instructor 2]]),0,1)</f>
        <v>0</v>
      </c>
      <c r="AI366" s="439">
        <f>Table2[[#This Row],[Course Length (Hours)]]/(SUM(Table2[[#This Row],[1]:[2]]))</f>
        <v>32</v>
      </c>
      <c r="AJ366" s="439">
        <v>39</v>
      </c>
      <c r="AK366" s="439">
        <v>3</v>
      </c>
    </row>
    <row r="367" spans="1:37" s="408" customFormat="1" x14ac:dyDescent="0.25">
      <c r="A367" s="437"/>
      <c r="B367" s="426" t="s">
        <v>53</v>
      </c>
      <c r="C367" s="438" t="str">
        <f>VLOOKUP(Table2[[#This Row],[Course Title]],'TSD-Data'!$A$1:$E$56,2,FALSE)</f>
        <v>A-493-0072</v>
      </c>
      <c r="D367" s="438" t="str">
        <f>VLOOKUP(Table2[[#This Row],[Course Title]],'TSD-Data'!$A$1:$E$56,3,FALSE)</f>
        <v>713U</v>
      </c>
      <c r="E367" s="433" t="s">
        <v>188</v>
      </c>
      <c r="F367" s="418">
        <v>45831</v>
      </c>
      <c r="G367" s="418">
        <v>45835</v>
      </c>
      <c r="H367" s="417">
        <v>0.33333333333333331</v>
      </c>
      <c r="I367" s="417"/>
      <c r="J367" s="418"/>
      <c r="K367" s="418"/>
      <c r="L367" s="418"/>
      <c r="M367" s="418"/>
      <c r="N367" s="418"/>
      <c r="O367" s="437" t="s">
        <v>274</v>
      </c>
      <c r="P367" s="437" t="s">
        <v>334</v>
      </c>
      <c r="Q367" s="365"/>
      <c r="R367" s="439">
        <f>VLOOKUP(Table2[[#This Row],[Course Title]],'TSD-Data'!$A$1:$E$56,4,FALSE)</f>
        <v>30</v>
      </c>
      <c r="S367" s="439">
        <f>VLOOKUP(Table2[[#This Row],[Course Title]],'TSD-Data'!$A$1:$F$53,6,FALSE)</f>
        <v>40</v>
      </c>
      <c r="T367" s="439">
        <f>VLOOKUP(Table2[[#This Row],[Course Title]],'TSD-Data'!$A$1:$E$56,5,FALSE)</f>
        <v>5</v>
      </c>
      <c r="U367" s="439">
        <v>26</v>
      </c>
      <c r="V367" s="439">
        <f>Table2[[#This Row],[Quotas]]-Table2[[#This Row],[Open Quotas]]</f>
        <v>29</v>
      </c>
      <c r="W367" s="439">
        <v>2</v>
      </c>
      <c r="X367" s="439"/>
      <c r="Y367" s="440"/>
      <c r="Z367" s="439"/>
      <c r="AA367" s="439"/>
      <c r="AB367" s="439"/>
      <c r="AC367" s="439"/>
      <c r="AD367" s="440">
        <f ca="1">Table2[[#This Row],[End Date]]+2-TODAY()</f>
        <v>60</v>
      </c>
      <c r="AE367" s="439">
        <f>IF(ISBLANK(Table2[[#This Row],[Received by]]),1,0)</f>
        <v>1</v>
      </c>
      <c r="AF367" s="439">
        <f ca="1">IF(Table2[[#This Row],[Start Date]]&gt;TODAY(),1,)</f>
        <v>1</v>
      </c>
      <c r="AG367" s="439">
        <f>IF(ISBLANK(Table2[[#This Row],[Primary Instructor]]),0,1)</f>
        <v>1</v>
      </c>
      <c r="AH367" s="439">
        <f>IF(ISBLANK(Table2[[#This Row],[Instructor 2]]),0,1)</f>
        <v>1</v>
      </c>
      <c r="AI367" s="439">
        <f>Table2[[#This Row],[Course Length (Hours)]]/(SUM(Table2[[#This Row],[1]:[2]]))</f>
        <v>20</v>
      </c>
      <c r="AJ367" s="439">
        <v>1</v>
      </c>
      <c r="AK367" s="439">
        <v>3</v>
      </c>
    </row>
    <row r="368" spans="1:37" s="408" customFormat="1" x14ac:dyDescent="0.25">
      <c r="A368" s="433"/>
      <c r="B368" s="426" t="s">
        <v>15</v>
      </c>
      <c r="C368" s="438" t="str">
        <f>VLOOKUP(Table2[[#This Row],[Course Title]],'TSD-Data'!$A$1:$E$56,2,FALSE)</f>
        <v>A-4J-0022</v>
      </c>
      <c r="D368" s="438" t="str">
        <f>VLOOKUP(Table2[[#This Row],[Course Title]],'TSD-Data'!$A$1:$E$56,3,FALSE)</f>
        <v>09ER</v>
      </c>
      <c r="E368" s="433" t="s">
        <v>86</v>
      </c>
      <c r="F368" s="418">
        <v>45832</v>
      </c>
      <c r="G368" s="418">
        <v>45833</v>
      </c>
      <c r="H368" s="417"/>
      <c r="I368" s="443">
        <v>0.5</v>
      </c>
      <c r="J368" s="443">
        <v>0.375</v>
      </c>
      <c r="K368" s="443">
        <v>0.79166666666666663</v>
      </c>
      <c r="L368" s="443">
        <v>0.75</v>
      </c>
      <c r="M368" s="443">
        <v>0.25</v>
      </c>
      <c r="N368" s="443">
        <v>4.1666666666666664E-2</v>
      </c>
      <c r="O368" s="437" t="s">
        <v>278</v>
      </c>
      <c r="P368" s="437"/>
      <c r="Q368" s="365"/>
      <c r="R368" s="439">
        <f>VLOOKUP(Table2[[#This Row],[Course Title]],'TSD-Data'!$A$1:$E$56,4,FALSE)</f>
        <v>45</v>
      </c>
      <c r="S368" s="439">
        <f>VLOOKUP(Table2[[#This Row],[Course Title]],'TSD-Data'!$A$1:$F$53,6,FALSE)</f>
        <v>16</v>
      </c>
      <c r="T368" s="439">
        <f>VLOOKUP(Table2[[#This Row],[Course Title]],'TSD-Data'!$A$1:$E$56,5,FALSE)</f>
        <v>2</v>
      </c>
      <c r="U368" s="439">
        <v>277</v>
      </c>
      <c r="V368" s="439">
        <f>Table2[[#This Row],[Quotas]]-Table2[[#This Row],[Open Quotas]]</f>
        <v>23</v>
      </c>
      <c r="W368" s="439">
        <v>0</v>
      </c>
      <c r="X368" s="439"/>
      <c r="Y368" s="440"/>
      <c r="Z368" s="439"/>
      <c r="AA368" s="439"/>
      <c r="AB368" s="439"/>
      <c r="AC368" s="439"/>
      <c r="AD368" s="440">
        <f ca="1">Table2[[#This Row],[End Date]]+2-TODAY()</f>
        <v>58</v>
      </c>
      <c r="AE368" s="439">
        <f>IF(ISBLANK(Table2[[#This Row],[Received by]]),1,0)</f>
        <v>1</v>
      </c>
      <c r="AF368" s="439">
        <f ca="1">IF(Table2[[#This Row],[Start Date]]&gt;TODAY(),1,)</f>
        <v>1</v>
      </c>
      <c r="AG368" s="439">
        <f>IF(ISBLANK(Table2[[#This Row],[Primary Instructor]]),0,1)</f>
        <v>1</v>
      </c>
      <c r="AH368" s="439">
        <f>IF(ISBLANK(Table2[[#This Row],[Instructor 2]]),0,1)</f>
        <v>0</v>
      </c>
      <c r="AI368" s="439">
        <f>Table2[[#This Row],[Course Length (Hours)]]/(SUM(Table2[[#This Row],[1]:[2]]))</f>
        <v>16</v>
      </c>
      <c r="AJ368" s="439">
        <v>22</v>
      </c>
      <c r="AK368" s="439">
        <v>3</v>
      </c>
    </row>
    <row r="369" spans="1:37" s="408" customFormat="1" x14ac:dyDescent="0.25">
      <c r="A369" s="437"/>
      <c r="B369" s="426" t="s">
        <v>28</v>
      </c>
      <c r="C369" s="438" t="str">
        <f>VLOOKUP(Table2[[#This Row],[Course Title]],'TSD-Data'!$A$1:$E$56,2,FALSE)</f>
        <v>A-493-0013</v>
      </c>
      <c r="D369" s="438">
        <f>VLOOKUP(Table2[[#This Row],[Course Title]],'TSD-Data'!$A$1:$E$56,3,FALSE)</f>
        <v>3683</v>
      </c>
      <c r="E369" s="433" t="s">
        <v>195</v>
      </c>
      <c r="F369" s="418">
        <v>45832</v>
      </c>
      <c r="G369" s="418">
        <v>45834</v>
      </c>
      <c r="H369" s="417">
        <v>0.33333333333333331</v>
      </c>
      <c r="I369" s="421"/>
      <c r="J369" s="421"/>
      <c r="K369" s="421"/>
      <c r="L369" s="421"/>
      <c r="M369" s="421"/>
      <c r="N369" s="421"/>
      <c r="O369" s="429" t="s">
        <v>289</v>
      </c>
      <c r="P369" s="437"/>
      <c r="Q369" s="365"/>
      <c r="R369" s="439">
        <f>VLOOKUP(Table2[[#This Row],[Course Title]],'TSD-Data'!$A$1:$E$56,4,FALSE)</f>
        <v>40</v>
      </c>
      <c r="S369" s="439">
        <f>VLOOKUP(Table2[[#This Row],[Course Title]],'TSD-Data'!$A$1:$F$53,6,FALSE)</f>
        <v>24</v>
      </c>
      <c r="T369" s="414">
        <f>VLOOKUP(Table2[[#This Row],[Course Title]],'TSD-Data'!$A$1:$E$56,5,FALSE)</f>
        <v>3</v>
      </c>
      <c r="U369" s="414">
        <v>30</v>
      </c>
      <c r="V369" s="414">
        <f>Table2[[#This Row],[Quotas]]-Table2[[#This Row],[Open Quotas]]</f>
        <v>11</v>
      </c>
      <c r="W369" s="414">
        <v>0</v>
      </c>
      <c r="X369" s="439"/>
      <c r="Y369" s="440"/>
      <c r="Z369" s="439"/>
      <c r="AA369" s="439"/>
      <c r="AB369" s="438"/>
      <c r="AC369" s="414"/>
      <c r="AD369" s="419">
        <f ca="1">Table2[[#This Row],[End Date]]+2-TODAY()</f>
        <v>59</v>
      </c>
      <c r="AE369" s="414">
        <f>IF(ISBLANK(Table2[[#This Row],[Received by]]),1,0)</f>
        <v>1</v>
      </c>
      <c r="AF369" s="414">
        <f ca="1">IF(Table2[[#This Row],[Start Date]]&gt;TODAY(),1,)</f>
        <v>1</v>
      </c>
      <c r="AG369" s="414">
        <f>IF(ISBLANK(Table2[[#This Row],[Primary Instructor]]),0,1)</f>
        <v>1</v>
      </c>
      <c r="AH369" s="414">
        <f>IF(ISBLANK(Table2[[#This Row],[Instructor 2]]),0,1)</f>
        <v>0</v>
      </c>
      <c r="AI369" s="414">
        <f>Table2[[#This Row],[Course Length (Hours)]]/(SUM(Table2[[#This Row],[1]:[2]]))</f>
        <v>24</v>
      </c>
      <c r="AJ369" s="414">
        <v>29</v>
      </c>
      <c r="AK369" s="414">
        <v>3</v>
      </c>
    </row>
    <row r="370" spans="1:37" s="408" customFormat="1" x14ac:dyDescent="0.25">
      <c r="A370" s="429"/>
      <c r="B370" s="436" t="s">
        <v>57</v>
      </c>
      <c r="C370" s="427" t="str">
        <f>VLOOKUP(Table2[[#This Row],[Course Title]],'TSD-Data'!$A$1:$E$56,2,FALSE)</f>
        <v>A-493-0099</v>
      </c>
      <c r="D370" s="427" t="str">
        <f>VLOOKUP(Table2[[#This Row],[Course Title]],'TSD-Data'!$A$1:$E$56,3,FALSE)</f>
        <v>12JW</v>
      </c>
      <c r="E370" s="425" t="s">
        <v>86</v>
      </c>
      <c r="F370" s="420">
        <v>45832</v>
      </c>
      <c r="G370" s="420">
        <v>45469</v>
      </c>
      <c r="H370" s="422"/>
      <c r="I370" s="422">
        <v>0.29166666666666669</v>
      </c>
      <c r="J370" s="422">
        <v>0.16666666666666666</v>
      </c>
      <c r="K370" s="422">
        <v>0.58333333333333337</v>
      </c>
      <c r="L370" s="422">
        <v>0.5</v>
      </c>
      <c r="M370" s="422">
        <v>4.1666666666666664E-2</v>
      </c>
      <c r="N370" s="422">
        <v>0.83333333333333337</v>
      </c>
      <c r="O370" s="429" t="s">
        <v>305</v>
      </c>
      <c r="P370" s="429"/>
      <c r="Q370" s="365"/>
      <c r="R370" s="419">
        <f>VLOOKUP(Table2[[#This Row],[Course Title]],'TSD-Data'!$A$1:$E$56,4,FALSE)</f>
        <v>45</v>
      </c>
      <c r="S370" s="414">
        <f>VLOOKUP(Table2[[#This Row],[Course Title]],'TSD-Data'!$A$1:$F$53,6,FALSE)</f>
        <v>24</v>
      </c>
      <c r="T370" s="414">
        <f>VLOOKUP(Table2[[#This Row],[Course Title]],'TSD-Data'!$A$1:$E$56,5,FALSE)</f>
        <v>3</v>
      </c>
      <c r="U370" s="414">
        <v>34</v>
      </c>
      <c r="V370" s="414">
        <f>Table2[[#This Row],[Quotas]]-Table2[[#This Row],[Open Quotas]]</f>
        <v>6</v>
      </c>
      <c r="W370" s="414">
        <v>0</v>
      </c>
      <c r="X370" s="419"/>
      <c r="Y370" s="419"/>
      <c r="Z370" s="414"/>
      <c r="AA370" s="414"/>
      <c r="AB370" s="414"/>
      <c r="AC370" s="414"/>
      <c r="AD370" s="419">
        <f ca="1">Table2[[#This Row],[End Date]]+2-TODAY()</f>
        <v>-306</v>
      </c>
      <c r="AE370" s="414">
        <f>IF(ISBLANK(Table2[[#This Row],[Received by]]),1,0)</f>
        <v>1</v>
      </c>
      <c r="AF370" s="414">
        <f ca="1">IF(Table2[[#This Row],[Start Date]]&gt;TODAY(),1,)</f>
        <v>1</v>
      </c>
      <c r="AG370" s="414">
        <f>IF(ISBLANK(Table2[[#This Row],[Primary Instructor]]),0,1)</f>
        <v>1</v>
      </c>
      <c r="AH370" s="414">
        <f>IF(ISBLANK(Table2[[#This Row],[Instructor 2]]),0,1)</f>
        <v>0</v>
      </c>
      <c r="AI370" s="414">
        <f>Table2[[#This Row],[Course Length (Hours)]]/(SUM(Table2[[#This Row],[1]:[2]]))</f>
        <v>24</v>
      </c>
      <c r="AJ370" s="414">
        <v>39</v>
      </c>
      <c r="AK370" s="414">
        <v>3</v>
      </c>
    </row>
    <row r="371" spans="1:37" s="408" customFormat="1" x14ac:dyDescent="0.25">
      <c r="A371" s="437"/>
      <c r="B371" s="436" t="s">
        <v>28</v>
      </c>
      <c r="C371" s="438" t="str">
        <f>VLOOKUP(Table2[[#This Row],[Course Title]],'TSD-Data'!$A$1:$E$56,2,FALSE)</f>
        <v>A-493-0013</v>
      </c>
      <c r="D371" s="438">
        <f>VLOOKUP(Table2[[#This Row],[Course Title]],'TSD-Data'!$A$1:$E$56,3,FALSE)</f>
        <v>3683</v>
      </c>
      <c r="E371" s="433" t="s">
        <v>204</v>
      </c>
      <c r="F371" s="418">
        <v>45838</v>
      </c>
      <c r="G371" s="418">
        <v>45840</v>
      </c>
      <c r="H371" s="417">
        <v>0.33333333333333331</v>
      </c>
      <c r="I371" s="417"/>
      <c r="J371" s="417"/>
      <c r="K371" s="417"/>
      <c r="L371" s="417"/>
      <c r="M371" s="417"/>
      <c r="N371" s="418"/>
      <c r="O371" s="437" t="s">
        <v>257</v>
      </c>
      <c r="P371" s="437"/>
      <c r="Q371" s="365"/>
      <c r="R371" s="439">
        <f>VLOOKUP(Table2[[#This Row],[Course Title]],'TSD-Data'!$A$1:$E$56,4,FALSE)</f>
        <v>40</v>
      </c>
      <c r="S371" s="439">
        <f>VLOOKUP(Table2[[#This Row],[Course Title]],'TSD-Data'!$A$1:$F$53,6,FALSE)</f>
        <v>24</v>
      </c>
      <c r="T371" s="414">
        <f>VLOOKUP(Table2[[#This Row],[Course Title]],'TSD-Data'!$A$1:$E$56,5,FALSE)</f>
        <v>3</v>
      </c>
      <c r="U371" s="414">
        <v>33</v>
      </c>
      <c r="V371" s="414">
        <f>Table2[[#This Row],[Quotas]]-Table2[[#This Row],[Open Quotas]]</f>
        <v>10</v>
      </c>
      <c r="W371" s="414">
        <v>0</v>
      </c>
      <c r="X371" s="439"/>
      <c r="Y371" s="440"/>
      <c r="Z371" s="439"/>
      <c r="AA371" s="439"/>
      <c r="AB371" s="438"/>
      <c r="AC371" s="414"/>
      <c r="AD371" s="419">
        <f ca="1">Table2[[#This Row],[End Date]]+2-TODAY()</f>
        <v>65</v>
      </c>
      <c r="AE371" s="414">
        <f>IF(ISBLANK(Table2[[#This Row],[Received by]]),1,0)</f>
        <v>1</v>
      </c>
      <c r="AF371" s="414">
        <f ca="1">IF(Table2[[#This Row],[Start Date]]&gt;TODAY(),1,)</f>
        <v>1</v>
      </c>
      <c r="AG371" s="414">
        <f>IF(ISBLANK(Table2[[#This Row],[Primary Instructor]]),0,1)</f>
        <v>1</v>
      </c>
      <c r="AH371" s="414">
        <f>IF(ISBLANK(Table2[[#This Row],[Instructor 2]]),0,1)</f>
        <v>0</v>
      </c>
      <c r="AI371" s="414">
        <f>Table2[[#This Row],[Course Length (Hours)]]/(SUM(Table2[[#This Row],[1]:[2]]))</f>
        <v>24</v>
      </c>
      <c r="AJ371" s="414">
        <v>30</v>
      </c>
      <c r="AK371" s="414">
        <v>3</v>
      </c>
    </row>
    <row r="372" spans="1:37" s="408" customFormat="1" x14ac:dyDescent="0.25">
      <c r="A372" s="446"/>
      <c r="B372" s="446" t="s">
        <v>33</v>
      </c>
      <c r="C372" s="491" t="str">
        <f>VLOOKUP(Table2[[#This Row],[Course Title]],'TSD-Data'!$A$1:$E$56,2,FALSE)</f>
        <v>A-493-2301</v>
      </c>
      <c r="D372" s="491" t="str">
        <f>VLOOKUP(Table2[[#This Row],[Course Title]],'TSD-Data'!$A$1:$E$56,3,FALSE)</f>
        <v>05ZD</v>
      </c>
      <c r="E372" s="446" t="s">
        <v>164</v>
      </c>
      <c r="F372" s="445">
        <v>45838</v>
      </c>
      <c r="G372" s="445">
        <v>45838</v>
      </c>
      <c r="H372" s="521">
        <v>0.33333333333333331</v>
      </c>
      <c r="I372" s="417"/>
      <c r="J372" s="417"/>
      <c r="K372" s="417"/>
      <c r="L372" s="417"/>
      <c r="M372" s="417"/>
      <c r="N372" s="417"/>
      <c r="O372" s="437" t="s">
        <v>280</v>
      </c>
      <c r="P372" s="490"/>
      <c r="Q372" s="365"/>
      <c r="R372" s="493">
        <f>VLOOKUP(Table2[[#This Row],[Course Title]],'TSD-Data'!$A$1:$E$56,4,FALSE)</f>
        <v>30</v>
      </c>
      <c r="S372" s="493">
        <f>VLOOKUP(Table2[[#This Row],[Course Title]],'TSD-Data'!$A$1:$F$53,6,FALSE)</f>
        <v>8</v>
      </c>
      <c r="T372" s="439">
        <f>VLOOKUP(Table2[[#This Row],[Course Title]],'TSD-Data'!$A$1:$E$56,5,FALSE)</f>
        <v>1</v>
      </c>
      <c r="U372" s="439">
        <v>10</v>
      </c>
      <c r="V372" s="439">
        <f>Table2[[#This Row],[Quotas]]-Table2[[#This Row],[Open Quotas]]</f>
        <v>4</v>
      </c>
      <c r="W372" s="439">
        <v>0</v>
      </c>
      <c r="X372" s="493"/>
      <c r="Y372" s="494"/>
      <c r="Z372" s="493"/>
      <c r="AA372" s="493"/>
      <c r="AB372" s="493"/>
      <c r="AC372" s="439"/>
      <c r="AD372" s="440">
        <f ca="1">Table2[[#This Row],[End Date]]+2-TODAY()</f>
        <v>63</v>
      </c>
      <c r="AE372" s="439">
        <f>IF(ISBLANK(Table2[[#This Row],[Received by]]),1,0)</f>
        <v>1</v>
      </c>
      <c r="AF372" s="439">
        <f ca="1">IF(Table2[[#This Row],[Start Date]]&gt;TODAY(),1,)</f>
        <v>1</v>
      </c>
      <c r="AG372" s="439">
        <f>IF(ISBLANK(Table2[[#This Row],[Primary Instructor]]),0,1)</f>
        <v>1</v>
      </c>
      <c r="AH372" s="439">
        <f>IF(ISBLANK(Table2[[#This Row],[Instructor 2]]),0,1)</f>
        <v>0</v>
      </c>
      <c r="AI372" s="439">
        <f>Table2[[#This Row],[Course Length (Hours)]]/(SUM(Table2[[#This Row],[1]:[2]]))</f>
        <v>8</v>
      </c>
      <c r="AJ372" s="439">
        <v>26</v>
      </c>
      <c r="AK372" s="439">
        <v>3</v>
      </c>
    </row>
    <row r="373" spans="1:37" s="408" customFormat="1" x14ac:dyDescent="0.25">
      <c r="A373" s="433"/>
      <c r="B373" s="433" t="s">
        <v>50</v>
      </c>
      <c r="C373" s="438" t="str">
        <f>VLOOKUP(Table2[[#This Row],[Course Title]],'TSD-Data'!$A$1:$E$56,2,FALSE)</f>
        <v>A-493-0331</v>
      </c>
      <c r="D373" s="438" t="str">
        <f>VLOOKUP(Table2[[#This Row],[Course Title]],'TSD-Data'!$A$1:$E$56,3,FALSE)</f>
        <v>10UG</v>
      </c>
      <c r="E373" s="433" t="s">
        <v>86</v>
      </c>
      <c r="F373" s="418">
        <v>45838</v>
      </c>
      <c r="G373" s="418">
        <v>45840</v>
      </c>
      <c r="H373" s="417"/>
      <c r="I373" s="443">
        <v>0.33333333333333331</v>
      </c>
      <c r="J373" s="417">
        <v>0.20833333333333334</v>
      </c>
      <c r="K373" s="417">
        <v>0.625</v>
      </c>
      <c r="L373" s="417">
        <v>0.54166666666666663</v>
      </c>
      <c r="M373" s="417">
        <v>8.3333333333333329E-2</v>
      </c>
      <c r="N373" s="417">
        <v>0.875</v>
      </c>
      <c r="O373" s="437" t="s">
        <v>274</v>
      </c>
      <c r="P373" s="437"/>
      <c r="Q373" s="365"/>
      <c r="R373" s="439">
        <f>VLOOKUP(Table2[[#This Row],[Course Title]],'TSD-Data'!$A$1:$E$56,4,FALSE)</f>
        <v>45</v>
      </c>
      <c r="S373" s="439">
        <f>VLOOKUP(Table2[[#This Row],[Course Title]],'TSD-Data'!$A$1:$F$53,6,FALSE)</f>
        <v>24</v>
      </c>
      <c r="T373" s="439">
        <f>VLOOKUP(Table2[[#This Row],[Course Title]],'TSD-Data'!$A$1:$E$56,5,FALSE)</f>
        <v>3</v>
      </c>
      <c r="U373" s="439">
        <v>498</v>
      </c>
      <c r="V373" s="439">
        <f>Table2[[#This Row],[Quotas]]-Table2[[#This Row],[Open Quotas]]</f>
        <v>45</v>
      </c>
      <c r="W373" s="439">
        <v>0</v>
      </c>
      <c r="X373" s="439"/>
      <c r="Y373" s="440"/>
      <c r="Z373" s="439"/>
      <c r="AA373" s="439"/>
      <c r="AB373" s="439"/>
      <c r="AC373" s="439"/>
      <c r="AD373" s="440">
        <f ca="1">Table2[[#This Row],[End Date]]+2-TODAY()</f>
        <v>65</v>
      </c>
      <c r="AE373" s="439">
        <f>IF(ISBLANK(Table2[[#This Row],[Received by]]),1,0)</f>
        <v>1</v>
      </c>
      <c r="AF373" s="439">
        <f ca="1">IF(Table2[[#This Row],[Start Date]]&gt;TODAY(),1,)</f>
        <v>1</v>
      </c>
      <c r="AG373" s="439">
        <f>IF(ISBLANK(Table2[[#This Row],[Primary Instructor]]),0,1)</f>
        <v>1</v>
      </c>
      <c r="AH373" s="439">
        <f>IF(ISBLANK(Table2[[#This Row],[Instructor 2]]),0,1)</f>
        <v>0</v>
      </c>
      <c r="AI373" s="439">
        <f>Table2[[#This Row],[Course Length (Hours)]]/(SUM(Table2[[#This Row],[1]:[2]]))</f>
        <v>24</v>
      </c>
      <c r="AJ373" s="439">
        <v>0</v>
      </c>
      <c r="AK373" s="439">
        <v>3</v>
      </c>
    </row>
    <row r="374" spans="1:37" s="408" customFormat="1" x14ac:dyDescent="0.25">
      <c r="A374" s="429" t="s">
        <v>432</v>
      </c>
      <c r="B374" s="433" t="s">
        <v>361</v>
      </c>
      <c r="C374" s="427" t="str">
        <f>VLOOKUP(Table2[[#This Row],[Course Title]],'TSD-Data'!$A$1:$E$56,2,FALSE)</f>
        <v>Function</v>
      </c>
      <c r="D374" s="427" t="str">
        <f>VLOOKUP(Table2[[#This Row],[Course Title]],'TSD-Data'!$A$1:$E$56,3,FALSE)</f>
        <v>Function</v>
      </c>
      <c r="E374" s="433" t="s">
        <v>198</v>
      </c>
      <c r="F374" s="420">
        <v>45839</v>
      </c>
      <c r="G374" s="420">
        <v>45839</v>
      </c>
      <c r="H374" s="422">
        <v>800</v>
      </c>
      <c r="I374" s="422">
        <v>800</v>
      </c>
      <c r="J374" s="422">
        <v>800</v>
      </c>
      <c r="K374" s="422">
        <v>800</v>
      </c>
      <c r="L374" s="422">
        <v>800</v>
      </c>
      <c r="M374" s="417">
        <v>800</v>
      </c>
      <c r="N374" s="422">
        <v>800</v>
      </c>
      <c r="O374" s="429"/>
      <c r="P374" s="429"/>
      <c r="Q374" s="365"/>
      <c r="R374" s="414">
        <f>VLOOKUP(Table2[[#This Row],[Course Title]],'TSD-Data'!$A$1:$E$56,4,FALSE)</f>
        <v>0</v>
      </c>
      <c r="S374" s="414">
        <f>VLOOKUP(Table2[[#This Row],[Course Title]],'TSD-Data'!$A$1:$F$53,6,FALSE)</f>
        <v>0</v>
      </c>
      <c r="T374" s="414">
        <f>VLOOKUP(Table2[[#This Row],[Course Title]],'TSD-Data'!$A$1:$E$56,5,FALSE)</f>
        <v>0</v>
      </c>
      <c r="U374" s="414">
        <v>0</v>
      </c>
      <c r="V374" s="414">
        <f ca="1">Table2[[#This Row],[Quotas]]-Table2[[#This Row],[Open Quotas]]</f>
        <v>0</v>
      </c>
      <c r="W374" s="414">
        <v>0</v>
      </c>
      <c r="X374" s="414">
        <v>0</v>
      </c>
      <c r="Y374" s="414">
        <v>0</v>
      </c>
      <c r="Z374" s="414">
        <v>0</v>
      </c>
      <c r="AA374" s="414">
        <v>0</v>
      </c>
      <c r="AB374" s="414">
        <v>0</v>
      </c>
      <c r="AC374" s="414" t="s">
        <v>285</v>
      </c>
      <c r="AD374" s="419">
        <f ca="1">Table2[[#This Row],[End Date]]+2-TODAY()</f>
        <v>64</v>
      </c>
      <c r="AE374" s="414">
        <f>IF(ISBLANK(Table2[[#This Row],[Received by]]),1,0)</f>
        <v>0</v>
      </c>
      <c r="AF374" s="414">
        <f ca="1">IF(Table2[[#This Row],[Start Date]]&gt;TODAY(),1,)</f>
        <v>1</v>
      </c>
      <c r="AG374" s="414">
        <f>IF(ISBLANK(Table2[[#This Row],[Primary Instructor]]),0,1)</f>
        <v>0</v>
      </c>
      <c r="AH374" s="414">
        <f>IF(ISBLANK(Table2[[#This Row],[Instructor 2]]),0,1)</f>
        <v>0</v>
      </c>
      <c r="AI374" s="414" t="e">
        <f>Table2[[#This Row],[Course Length (Hours)]]/(SUM(Table2[[#This Row],[1]:[2]]))</f>
        <v>#DIV/0!</v>
      </c>
      <c r="AJ374" s="414">
        <f ca="1">Table2[[#This Row],[Quotas]]-Table2[[#This Row],[Registered]]</f>
        <v>0</v>
      </c>
      <c r="AK374" s="430">
        <v>4</v>
      </c>
    </row>
    <row r="375" spans="1:37" s="408" customFormat="1" x14ac:dyDescent="0.25">
      <c r="A375" s="437"/>
      <c r="B375" s="433" t="s">
        <v>31</v>
      </c>
      <c r="C375" s="438" t="str">
        <f>VLOOKUP(Table2[[#This Row],[Course Title]],'TSD-Data'!$A$1:$E$56,2,FALSE)</f>
        <v>A-493-0083</v>
      </c>
      <c r="D375" s="438" t="str">
        <f>VLOOKUP(Table2[[#This Row],[Course Title]],'TSD-Data'!$A$1:$E$56,3,FALSE)</f>
        <v>339E</v>
      </c>
      <c r="E375" s="433" t="s">
        <v>86</v>
      </c>
      <c r="F375" s="418">
        <v>45839</v>
      </c>
      <c r="G375" s="418">
        <v>45839</v>
      </c>
      <c r="H375" s="417"/>
      <c r="I375" s="417">
        <v>0.33333333333333331</v>
      </c>
      <c r="J375" s="417">
        <v>0.20833333333333334</v>
      </c>
      <c r="K375" s="417">
        <v>0.625</v>
      </c>
      <c r="L375" s="417">
        <v>0.54166666666666663</v>
      </c>
      <c r="M375" s="417">
        <v>8.3333333333333329E-2</v>
      </c>
      <c r="N375" s="417">
        <v>0.875</v>
      </c>
      <c r="O375" s="437" t="s">
        <v>280</v>
      </c>
      <c r="P375" s="437"/>
      <c r="Q375" s="365"/>
      <c r="R375" s="440">
        <f>VLOOKUP(Table2[[#This Row],[Course Title]],'TSD-Data'!$A$1:$E$56,4,FALSE)</f>
        <v>30</v>
      </c>
      <c r="S375" s="439">
        <f>VLOOKUP(Table2[[#This Row],[Course Title]],'TSD-Data'!$A$1:$F$53,6,FALSE)</f>
        <v>8</v>
      </c>
      <c r="T375" s="444">
        <f>VLOOKUP(Table2[[#This Row],[Course Title]],'TSD-Data'!$A$1:$E$56,5,FALSE)</f>
        <v>1</v>
      </c>
      <c r="U375" s="444">
        <v>0</v>
      </c>
      <c r="V375" s="444">
        <f>Table2[[#This Row],[Quotas]]-Table2[[#This Row],[Open Quotas]]</f>
        <v>24</v>
      </c>
      <c r="W375" s="444"/>
      <c r="X375" s="440"/>
      <c r="Y375" s="440"/>
      <c r="Z375" s="439"/>
      <c r="AA375" s="439"/>
      <c r="AB375" s="439"/>
      <c r="AC375" s="439"/>
      <c r="AD375" s="440">
        <f ca="1">Table2[[#This Row],[End Date]]+2-TODAY()</f>
        <v>64</v>
      </c>
      <c r="AE375" s="439">
        <f>IF(ISBLANK(Table2[[#This Row],[Received by]]),1,0)</f>
        <v>1</v>
      </c>
      <c r="AF375" s="439">
        <f ca="1">IF(Table2[[#This Row],[Start Date]]&gt;TODAY(),1,)</f>
        <v>1</v>
      </c>
      <c r="AG375" s="439">
        <f>IF(ISBLANK(Table2[[#This Row],[Primary Instructor]]),0,1)</f>
        <v>1</v>
      </c>
      <c r="AH375" s="439">
        <f>IF(ISBLANK(Table2[[#This Row],[Instructor 2]]),0,1)</f>
        <v>0</v>
      </c>
      <c r="AI375" s="439">
        <f>Table2[[#This Row],[Course Length (Hours)]]/(SUM(Table2[[#This Row],[1]:[2]]))</f>
        <v>8</v>
      </c>
      <c r="AJ375" s="439">
        <v>6</v>
      </c>
      <c r="AK375" s="441">
        <v>4</v>
      </c>
    </row>
    <row r="376" spans="1:37" s="408" customFormat="1" x14ac:dyDescent="0.25">
      <c r="A376" s="437"/>
      <c r="B376" s="433" t="s">
        <v>49</v>
      </c>
      <c r="C376" s="438" t="str">
        <f>VLOOKUP(Table2[[#This Row],[Course Title]],'TSD-Data'!$A$1:$E$56,2,FALSE)</f>
        <v>A-493-0092</v>
      </c>
      <c r="D376" s="438">
        <f>VLOOKUP(Table2[[#This Row],[Course Title]],'TSD-Data'!$A$1:$E$56,3,FALSE)</f>
        <v>5891</v>
      </c>
      <c r="E376" s="433" t="s">
        <v>185</v>
      </c>
      <c r="F376" s="418">
        <v>45839</v>
      </c>
      <c r="G376" s="418">
        <v>45841</v>
      </c>
      <c r="H376" s="417">
        <v>0.33333333333333331</v>
      </c>
      <c r="I376" s="417"/>
      <c r="J376" s="418"/>
      <c r="K376" s="418"/>
      <c r="L376" s="418"/>
      <c r="M376" s="418"/>
      <c r="N376" s="418"/>
      <c r="O376" s="437" t="s">
        <v>318</v>
      </c>
      <c r="P376" s="437" t="s">
        <v>334</v>
      </c>
      <c r="Q376" s="365"/>
      <c r="R376" s="439">
        <f>VLOOKUP(Table2[[#This Row],[Course Title]],'TSD-Data'!$A$1:$E$56,4,FALSE)</f>
        <v>25</v>
      </c>
      <c r="S376" s="439">
        <f>VLOOKUP(Table2[[#This Row],[Course Title]],'TSD-Data'!$A$1:$F$53,6,FALSE)</f>
        <v>24</v>
      </c>
      <c r="T376" s="439">
        <f>VLOOKUP(Table2[[#This Row],[Course Title]],'TSD-Data'!$A$1:$E$56,5,FALSE)</f>
        <v>3</v>
      </c>
      <c r="U376" s="439">
        <v>46</v>
      </c>
      <c r="V376" s="439">
        <f>Table2[[#This Row],[Quotas]]-Table2[[#This Row],[Open Quotas]]</f>
        <v>7</v>
      </c>
      <c r="W376" s="439">
        <v>0</v>
      </c>
      <c r="X376" s="439"/>
      <c r="Y376" s="440"/>
      <c r="Z376" s="439"/>
      <c r="AA376" s="439"/>
      <c r="AB376" s="439"/>
      <c r="AC376" s="439"/>
      <c r="AD376" s="440">
        <f ca="1">Table2[[#This Row],[End Date]]+2-TODAY()</f>
        <v>66</v>
      </c>
      <c r="AE376" s="439">
        <f>IF(ISBLANK(Table2[[#This Row],[Received by]]),1,0)</f>
        <v>1</v>
      </c>
      <c r="AF376" s="439">
        <f ca="1">IF(Table2[[#This Row],[Start Date]]&gt;TODAY(),1,)</f>
        <v>1</v>
      </c>
      <c r="AG376" s="439">
        <f>IF(ISBLANK(Table2[[#This Row],[Primary Instructor]]),0,1)</f>
        <v>1</v>
      </c>
      <c r="AH376" s="439">
        <f>IF(ISBLANK(Table2[[#This Row],[Instructor 2]]),0,1)</f>
        <v>1</v>
      </c>
      <c r="AI376" s="439">
        <f>Table2[[#This Row],[Course Length (Hours)]]/(SUM(Table2[[#This Row],[1]:[2]]))</f>
        <v>12</v>
      </c>
      <c r="AJ376" s="439">
        <v>18</v>
      </c>
      <c r="AK376" s="441">
        <v>4</v>
      </c>
    </row>
    <row r="377" spans="1:37" s="408" customFormat="1" x14ac:dyDescent="0.25">
      <c r="A377" s="437"/>
      <c r="B377" s="433" t="s">
        <v>35</v>
      </c>
      <c r="C377" s="438" t="str">
        <f>VLOOKUP(Table2[[#This Row],[Course Title]],'TSD-Data'!$A$1:$E$56,2,FALSE)</f>
        <v>A-493-2501</v>
      </c>
      <c r="D377" s="438" t="str">
        <f>VLOOKUP(Table2[[#This Row],[Course Title]],'TSD-Data'!$A$1:$E$56,3,FALSE)</f>
        <v>05ZE</v>
      </c>
      <c r="E377" s="450" t="s">
        <v>164</v>
      </c>
      <c r="F377" s="418">
        <v>45839</v>
      </c>
      <c r="G377" s="418">
        <v>45839</v>
      </c>
      <c r="H377" s="417">
        <v>0.33333333333333331</v>
      </c>
      <c r="I377" s="417"/>
      <c r="J377" s="417"/>
      <c r="K377" s="417"/>
      <c r="L377" s="417"/>
      <c r="M377" s="417"/>
      <c r="N377" s="417"/>
      <c r="O377" s="437" t="s">
        <v>280</v>
      </c>
      <c r="P377" s="437"/>
      <c r="Q377" s="365"/>
      <c r="R377" s="439">
        <f>VLOOKUP(Table2[[#This Row],[Course Title]],'TSD-Data'!$A$1:$E$56,4,FALSE)</f>
        <v>30</v>
      </c>
      <c r="S377" s="439">
        <f>VLOOKUP(Table2[[#This Row],[Course Title]],'TSD-Data'!$A$1:$F$53,6,FALSE)</f>
        <v>8</v>
      </c>
      <c r="T377" s="439">
        <f>VLOOKUP(Table2[[#This Row],[Course Title]],'TSD-Data'!$A$1:$E$56,5,FALSE)</f>
        <v>1</v>
      </c>
      <c r="U377" s="439">
        <v>25</v>
      </c>
      <c r="V377" s="439">
        <f>Table2[[#This Row],[Quotas]]-Table2[[#This Row],[Open Quotas]]</f>
        <v>3</v>
      </c>
      <c r="W377" s="439"/>
      <c r="X377" s="439"/>
      <c r="Y377" s="440"/>
      <c r="Z377" s="439"/>
      <c r="AA377" s="439"/>
      <c r="AB377" s="439"/>
      <c r="AC377" s="439"/>
      <c r="AD377" s="440">
        <f ca="1">Table2[[#This Row],[End Date]]+2-TODAY()</f>
        <v>64</v>
      </c>
      <c r="AE377" s="439">
        <f>IF(ISBLANK(Table2[[#This Row],[Received by]]),1,0)</f>
        <v>1</v>
      </c>
      <c r="AF377" s="439">
        <f ca="1">IF(Table2[[#This Row],[Start Date]]&gt;TODAY(),1,)</f>
        <v>1</v>
      </c>
      <c r="AG377" s="439">
        <f>IF(ISBLANK(Table2[[#This Row],[Primary Instructor]]),0,1)</f>
        <v>1</v>
      </c>
      <c r="AH377" s="439">
        <f>IF(ISBLANK(Table2[[#This Row],[Instructor 2]]),0,1)</f>
        <v>0</v>
      </c>
      <c r="AI377" s="439">
        <f>Table2[[#This Row],[Course Length (Hours)]]/(SUM(Table2[[#This Row],[1]:[2]]))</f>
        <v>8</v>
      </c>
      <c r="AJ377" s="439">
        <v>27</v>
      </c>
      <c r="AK377" s="441">
        <v>4</v>
      </c>
    </row>
    <row r="378" spans="1:37" s="408" customFormat="1" x14ac:dyDescent="0.25">
      <c r="A378" s="433" t="s">
        <v>444</v>
      </c>
      <c r="B378" s="433" t="s">
        <v>223</v>
      </c>
      <c r="C378" s="438" t="str">
        <f>VLOOKUP(Table2[[#This Row],[Course Title]],'TSD-Data'!$A$1:$E$56,2,FALSE)</f>
        <v>Holiday</v>
      </c>
      <c r="D378" s="438" t="str">
        <f>VLOOKUP(Table2[[#This Row],[Course Title]],'TSD-Data'!$A$1:$E$56,3,FALSE)</f>
        <v>Holiday</v>
      </c>
      <c r="E378" s="433" t="s">
        <v>223</v>
      </c>
      <c r="F378" s="418">
        <v>45842</v>
      </c>
      <c r="G378" s="418">
        <v>45842</v>
      </c>
      <c r="H378" s="417"/>
      <c r="I378" s="417"/>
      <c r="J378" s="418"/>
      <c r="K378" s="418"/>
      <c r="L378" s="418"/>
      <c r="M378" s="418"/>
      <c r="N378" s="418"/>
      <c r="O378" s="437"/>
      <c r="P378" s="437"/>
      <c r="Q378" s="365"/>
      <c r="R378" s="439">
        <f>VLOOKUP(Table2[[#This Row],[Course Title]],'TSD-Data'!$A$1:$E$56,4,FALSE)</f>
        <v>0</v>
      </c>
      <c r="S378" s="439">
        <f>VLOOKUP(Table2[[#This Row],[Course Title]],'TSD-Data'!$A$1:$F$53,6,FALSE)</f>
        <v>0</v>
      </c>
      <c r="T378" s="439">
        <f>VLOOKUP(Table2[[#This Row],[Course Title]],'TSD-Data'!$A$1:$E$56,5,FALSE)</f>
        <v>0</v>
      </c>
      <c r="U378" s="439">
        <v>0</v>
      </c>
      <c r="V378" s="439">
        <f>Table2[[#This Row],[Quotas]]-Table2[[#This Row],[Open Quotas]]</f>
        <v>0</v>
      </c>
      <c r="W378" s="439">
        <v>0</v>
      </c>
      <c r="X378" s="439">
        <v>0</v>
      </c>
      <c r="Y378" s="439">
        <v>0</v>
      </c>
      <c r="Z378" s="439">
        <v>0</v>
      </c>
      <c r="AA378" s="439">
        <v>0</v>
      </c>
      <c r="AB378" s="439">
        <v>0</v>
      </c>
      <c r="AC378" s="439" t="s">
        <v>285</v>
      </c>
      <c r="AD378" s="440">
        <f ca="1">Table2[[#This Row],[End Date]]+2-TODAY()</f>
        <v>67</v>
      </c>
      <c r="AE378" s="439">
        <f>IF(ISBLANK(Table2[[#This Row],[Received by]]),1,0)</f>
        <v>0</v>
      </c>
      <c r="AF378" s="439">
        <f ca="1">IF(Table2[[#This Row],[Start Date]]&gt;TODAY(),1,)</f>
        <v>1</v>
      </c>
      <c r="AG378" s="439">
        <f>IF(ISBLANK(Table2[[#This Row],[Primary Instructor]]),0,1)</f>
        <v>0</v>
      </c>
      <c r="AH378" s="439">
        <f>IF(ISBLANK(Table2[[#This Row],[Instructor 2]]),0,1)</f>
        <v>0</v>
      </c>
      <c r="AI378" s="439" t="e">
        <f>Table2[[#This Row],[Course Length (Hours)]]/(SUM(Table2[[#This Row],[1]:[2]]))</f>
        <v>#DIV/0!</v>
      </c>
      <c r="AJ378" s="439"/>
      <c r="AK378" s="441"/>
    </row>
    <row r="379" spans="1:37" s="408" customFormat="1" x14ac:dyDescent="0.25">
      <c r="A379" s="425"/>
      <c r="B379" s="433" t="s">
        <v>45</v>
      </c>
      <c r="C379" s="427" t="str">
        <f>VLOOKUP(Table2[[#This Row],[Course Title]],'TSD-Data'!$A$1:$E$56,2,FALSE)</f>
        <v>A-493-0069</v>
      </c>
      <c r="D379" s="427" t="str">
        <f>VLOOKUP(Table2[[#This Row],[Course Title]],'TSD-Data'!$A$1:$E$56,3,FALSE)</f>
        <v>450U</v>
      </c>
      <c r="E379" s="433" t="s">
        <v>205</v>
      </c>
      <c r="F379" s="418">
        <v>45845</v>
      </c>
      <c r="G379" s="418">
        <v>45849</v>
      </c>
      <c r="H379" s="422">
        <v>0.33333333333333331</v>
      </c>
      <c r="I379" s="421"/>
      <c r="J379" s="422"/>
      <c r="K379" s="422"/>
      <c r="L379" s="422"/>
      <c r="M379" s="422"/>
      <c r="N379" s="422"/>
      <c r="O379" s="429" t="s">
        <v>316</v>
      </c>
      <c r="P379" s="429" t="s">
        <v>315</v>
      </c>
      <c r="Q379" s="365"/>
      <c r="R379" s="414">
        <f>VLOOKUP(Table2[[#This Row],[Course Title]],'TSD-Data'!$A$1:$E$56,4,FALSE)</f>
        <v>25</v>
      </c>
      <c r="S379" s="414">
        <f>VLOOKUP(Table2[[#This Row],[Course Title]],'TSD-Data'!$A$1:$F$53,6,FALSE)</f>
        <v>40</v>
      </c>
      <c r="T379" s="414">
        <f>VLOOKUP(Table2[[#This Row],[Course Title]],'TSD-Data'!$A$1:$E$56,5,FALSE)</f>
        <v>5</v>
      </c>
      <c r="U379" s="414">
        <v>15</v>
      </c>
      <c r="V379" s="414">
        <f>Table2[[#This Row],[Quotas]]-Table2[[#This Row],[Open Quotas]]</f>
        <v>4</v>
      </c>
      <c r="W379" s="414"/>
      <c r="X379" s="419"/>
      <c r="Y379" s="419"/>
      <c r="Z379" s="414"/>
      <c r="AA379" s="414"/>
      <c r="AB379" s="419"/>
      <c r="AC379" s="414"/>
      <c r="AD379" s="419">
        <f ca="1">Table2[[#This Row],[End Date]]+2-TODAY()</f>
        <v>74</v>
      </c>
      <c r="AE379" s="414">
        <f>IF(ISBLANK(Table2[[#This Row],[Received by]]),1,0)</f>
        <v>1</v>
      </c>
      <c r="AF379" s="414">
        <f ca="1">IF(Table2[[#This Row],[Start Date]]&gt;TODAY(),1,)</f>
        <v>1</v>
      </c>
      <c r="AG379" s="414">
        <f>IF(ISBLANK(Table2[[#This Row],[Primary Instructor]]),0,1)</f>
        <v>1</v>
      </c>
      <c r="AH379" s="414">
        <f>IF(ISBLANK(Table2[[#This Row],[Instructor 2]]),0,1)</f>
        <v>1</v>
      </c>
      <c r="AI379" s="414">
        <f>Table2[[#This Row],[Course Length (Hours)]]/(SUM(Table2[[#This Row],[1]:[2]]))</f>
        <v>20</v>
      </c>
      <c r="AJ379" s="414">
        <v>21</v>
      </c>
      <c r="AK379" s="430">
        <v>4</v>
      </c>
    </row>
    <row r="380" spans="1:37" s="408" customFormat="1" x14ac:dyDescent="0.25">
      <c r="A380" s="429" t="s">
        <v>465</v>
      </c>
      <c r="B380" s="433" t="s">
        <v>17</v>
      </c>
      <c r="C380" s="427" t="str">
        <f>VLOOKUP(Table2[[#This Row],[Course Title]],'TSD-Data'!$A$1:$E$56,2,FALSE)</f>
        <v>A-493-0012</v>
      </c>
      <c r="D380" s="427">
        <f>VLOOKUP(Table2[[#This Row],[Course Title]],'TSD-Data'!$A$1:$E$56,3,FALSE)</f>
        <v>3682</v>
      </c>
      <c r="E380" s="450" t="s">
        <v>211</v>
      </c>
      <c r="F380" s="420">
        <v>45845</v>
      </c>
      <c r="G380" s="420">
        <v>45849</v>
      </c>
      <c r="H380" s="422">
        <v>0.33333333333333331</v>
      </c>
      <c r="I380" s="422"/>
      <c r="J380" s="420"/>
      <c r="K380" s="420"/>
      <c r="L380" s="420"/>
      <c r="M380" s="420"/>
      <c r="N380" s="420"/>
      <c r="O380" s="429" t="s">
        <v>283</v>
      </c>
      <c r="P380" s="429"/>
      <c r="Q380" s="365"/>
      <c r="R380" s="414">
        <f>VLOOKUP(Table2[[#This Row],[Course Title]],'TSD-Data'!$A$1:$E$56,4,FALSE)</f>
        <v>40</v>
      </c>
      <c r="S380" s="414">
        <f>VLOOKUP(Table2[[#This Row],[Course Title]],'TSD-Data'!$A$1:$F$53,6,FALSE)</f>
        <v>40</v>
      </c>
      <c r="T380" s="414">
        <f>VLOOKUP(Table2[[#This Row],[Course Title]],'TSD-Data'!$A$1:$E$56,5,FALSE)</f>
        <v>5</v>
      </c>
      <c r="U380" s="414">
        <v>30</v>
      </c>
      <c r="V380" s="414">
        <f>Table2[[#This Row],[Quotas]]-Table2[[#This Row],[Open Quotas]]</f>
        <v>26</v>
      </c>
      <c r="W380" s="414"/>
      <c r="X380" s="414"/>
      <c r="Y380" s="419"/>
      <c r="Z380" s="414"/>
      <c r="AA380" s="414"/>
      <c r="AB380" s="414"/>
      <c r="AC380" s="414"/>
      <c r="AD380" s="419">
        <f ca="1">Table2[[#This Row],[End Date]]+2-TODAY()</f>
        <v>74</v>
      </c>
      <c r="AE380" s="414">
        <f>IF(ISBLANK(Table2[[#This Row],[Received by]]),1,0)</f>
        <v>1</v>
      </c>
      <c r="AF380" s="414">
        <f ca="1">IF(Table2[[#This Row],[Start Date]]&gt;TODAY(),1,)</f>
        <v>1</v>
      </c>
      <c r="AG380" s="414">
        <f>IF(ISBLANK(Table2[[#This Row],[Primary Instructor]]),0,1)</f>
        <v>1</v>
      </c>
      <c r="AH380" s="414">
        <f>IF(ISBLANK(Table2[[#This Row],[Instructor 2]]),0,1)</f>
        <v>0</v>
      </c>
      <c r="AI380" s="414">
        <f>Table2[[#This Row],[Course Length (Hours)]]/(SUM(Table2[[#This Row],[1]:[2]]))</f>
        <v>40</v>
      </c>
      <c r="AJ380" s="414">
        <v>14</v>
      </c>
      <c r="AK380" s="430">
        <v>4</v>
      </c>
    </row>
    <row r="381" spans="1:37" s="408" customFormat="1" x14ac:dyDescent="0.25">
      <c r="A381" s="437"/>
      <c r="B381" s="433" t="s">
        <v>120</v>
      </c>
      <c r="C381" s="438" t="str">
        <f>VLOOKUP(Table2[[#This Row],[Course Title]],'TSD-Data'!$A$1:$E$56,2,FALSE)</f>
        <v>A-322-2604</v>
      </c>
      <c r="D381" s="438" t="str">
        <f>VLOOKUP(Table2[[#This Row],[Course Title]],'TSD-Data'!$A$1:$E$56,3,FALSE)</f>
        <v>10ZZ</v>
      </c>
      <c r="E381" s="433" t="s">
        <v>86</v>
      </c>
      <c r="F381" s="418">
        <v>45845</v>
      </c>
      <c r="G381" s="418">
        <v>45847</v>
      </c>
      <c r="H381" s="417"/>
      <c r="I381" s="443">
        <v>0.5</v>
      </c>
      <c r="J381" s="443">
        <v>0.375</v>
      </c>
      <c r="K381" s="443">
        <v>0.79166666666666663</v>
      </c>
      <c r="L381" s="443">
        <v>0.75</v>
      </c>
      <c r="M381" s="443">
        <v>0.25</v>
      </c>
      <c r="N381" s="443">
        <v>4.1666666666666664E-2</v>
      </c>
      <c r="O381" s="401" t="s">
        <v>288</v>
      </c>
      <c r="P381" s="437"/>
      <c r="Q381" s="365"/>
      <c r="R381" s="439">
        <f>VLOOKUP(Table2[[#This Row],[Course Title]],'TSD-Data'!$A$1:$E$56,4,FALSE)</f>
        <v>45</v>
      </c>
      <c r="S381" s="439">
        <f>VLOOKUP(Table2[[#This Row],[Course Title]],'TSD-Data'!$A$1:$F$53,6,FALSE)</f>
        <v>24</v>
      </c>
      <c r="T381" s="439">
        <f>VLOOKUP(Table2[[#This Row],[Course Title]],'TSD-Data'!$A$1:$E$56,5,FALSE)</f>
        <v>3</v>
      </c>
      <c r="U381" s="414">
        <v>634</v>
      </c>
      <c r="V381" s="439">
        <f>Table2[[#This Row],[Quotas]]-Table2[[#This Row],[Open Quotas]]</f>
        <v>7</v>
      </c>
      <c r="W381" s="439"/>
      <c r="X381" s="439"/>
      <c r="Y381" s="440"/>
      <c r="Z381" s="439"/>
      <c r="AA381" s="439"/>
      <c r="AB381" s="438"/>
      <c r="AC381" s="439"/>
      <c r="AD381" s="440">
        <f ca="1">Table2[[#This Row],[End Date]]+2-TODAY()</f>
        <v>72</v>
      </c>
      <c r="AE381" s="439">
        <f>IF(ISBLANK(Table2[[#This Row],[Received by]]),1,0)</f>
        <v>1</v>
      </c>
      <c r="AF381" s="439">
        <f ca="1">IF(Table2[[#This Row],[Start Date]]&gt;TODAY(),1,)</f>
        <v>1</v>
      </c>
      <c r="AG381" s="439">
        <f>IF(ISBLANK(Table2[[#This Row],[Primary Instructor]]),0,1)</f>
        <v>1</v>
      </c>
      <c r="AH381" s="439">
        <f>IF(ISBLANK(Table2[[#This Row],[Instructor 2]]),0,1)</f>
        <v>0</v>
      </c>
      <c r="AI381" s="439">
        <f>Table2[[#This Row],[Course Length (Hours)]]/(SUM(Table2[[#This Row],[1]:[2]]))</f>
        <v>24</v>
      </c>
      <c r="AJ381" s="439">
        <v>38</v>
      </c>
      <c r="AK381" s="441">
        <v>4</v>
      </c>
    </row>
    <row r="382" spans="1:37" s="408" customFormat="1" x14ac:dyDescent="0.25">
      <c r="A382" s="437"/>
      <c r="B382" s="433" t="s">
        <v>32</v>
      </c>
      <c r="C382" s="438" t="str">
        <f>VLOOKUP(Table2[[#This Row],[Course Title]],'TSD-Data'!$A$1:$E$56,2,FALSE)</f>
        <v>A-493-2300</v>
      </c>
      <c r="D382" s="438" t="str">
        <f>VLOOKUP(Table2[[#This Row],[Course Title]],'TSD-Data'!$A$1:$E$56,3,FALSE)</f>
        <v>993F</v>
      </c>
      <c r="E382" s="450" t="s">
        <v>170</v>
      </c>
      <c r="F382" s="452">
        <v>45845</v>
      </c>
      <c r="G382" s="452">
        <v>45846</v>
      </c>
      <c r="H382" s="417">
        <v>0.33333333333333331</v>
      </c>
      <c r="I382" s="417"/>
      <c r="J382" s="417"/>
      <c r="K382" s="417"/>
      <c r="L382" s="417"/>
      <c r="M382" s="417"/>
      <c r="N382" s="417"/>
      <c r="O382" s="437" t="s">
        <v>280</v>
      </c>
      <c r="P382" s="437"/>
      <c r="Q382" s="365"/>
      <c r="R382" s="439">
        <f>VLOOKUP(Table2[[#This Row],[Course Title]],'TSD-Data'!$A$1:$E$56,4,FALSE)</f>
        <v>30</v>
      </c>
      <c r="S382" s="439">
        <f>VLOOKUP(Table2[[#This Row],[Course Title]],'TSD-Data'!$A$1:$F$53,6,FALSE)</f>
        <v>16</v>
      </c>
      <c r="T382" s="439">
        <f>VLOOKUP(Table2[[#This Row],[Course Title]],'TSD-Data'!$A$1:$E$56,5,FALSE)</f>
        <v>2</v>
      </c>
      <c r="U382" s="439">
        <v>25</v>
      </c>
      <c r="V382" s="439">
        <f ca="1">Table2[[#This Row],[Quotas]]-Table2[[#This Row],[Open Quotas]]</f>
        <v>0</v>
      </c>
      <c r="W382" s="439"/>
      <c r="X382" s="439"/>
      <c r="Y382" s="440"/>
      <c r="Z382" s="439"/>
      <c r="AA382" s="439"/>
      <c r="AB382" s="439"/>
      <c r="AC382" s="439"/>
      <c r="AD382" s="440">
        <f ca="1">Table2[[#This Row],[End Date]]+2-TODAY()</f>
        <v>71</v>
      </c>
      <c r="AE382" s="439">
        <f>IF(ISBLANK(Table2[[#This Row],[Received by]]),1,0)</f>
        <v>1</v>
      </c>
      <c r="AF382" s="439">
        <f ca="1">IF(Table2[[#This Row],[Start Date]]&gt;TODAY(),1,)</f>
        <v>1</v>
      </c>
      <c r="AG382" s="439">
        <f>IF(ISBLANK(Table2[[#This Row],[Primary Instructor]]),0,1)</f>
        <v>1</v>
      </c>
      <c r="AH382" s="439">
        <f>IF(ISBLANK(Table2[[#This Row],[Instructor 2]]),0,1)</f>
        <v>0</v>
      </c>
      <c r="AI382" s="439">
        <f>Table2[[#This Row],[Course Length (Hours)]]/(SUM(Table2[[#This Row],[1]:[2]]))</f>
        <v>16</v>
      </c>
      <c r="AJ382" s="439">
        <f ca="1">Table2[[#This Row],[Quotas]]-Table2[[#This Row],[Registered]]</f>
        <v>30</v>
      </c>
      <c r="AK382" s="441">
        <v>4</v>
      </c>
    </row>
    <row r="383" spans="1:37" s="408" customFormat="1" x14ac:dyDescent="0.25">
      <c r="A383" s="437"/>
      <c r="B383" s="433" t="s">
        <v>33</v>
      </c>
      <c r="C383" s="438" t="str">
        <f>VLOOKUP(Table2[[#This Row],[Course Title]],'TSD-Data'!$A$1:$E$56,2,FALSE)</f>
        <v>A-493-2301</v>
      </c>
      <c r="D383" s="438" t="str">
        <f>VLOOKUP(Table2[[#This Row],[Course Title]],'TSD-Data'!$A$1:$E$56,3,FALSE)</f>
        <v>05ZD</v>
      </c>
      <c r="E383" s="433" t="s">
        <v>159</v>
      </c>
      <c r="F383" s="418">
        <v>45845</v>
      </c>
      <c r="G383" s="418">
        <v>45845</v>
      </c>
      <c r="H383" s="417">
        <v>0.33333333333333331</v>
      </c>
      <c r="I383" s="417"/>
      <c r="J383" s="417"/>
      <c r="K383" s="417"/>
      <c r="L383" s="417"/>
      <c r="M383" s="417"/>
      <c r="N383" s="417"/>
      <c r="O383" s="437" t="s">
        <v>280</v>
      </c>
      <c r="P383" s="437"/>
      <c r="Q383" s="365"/>
      <c r="R383" s="439">
        <f>VLOOKUP(Table2[[#This Row],[Course Title]],'TSD-Data'!$A$1:$E$56,4,FALSE)</f>
        <v>30</v>
      </c>
      <c r="S383" s="439">
        <f>VLOOKUP(Table2[[#This Row],[Course Title]],'TSD-Data'!$A$1:$F$53,6,FALSE)</f>
        <v>8</v>
      </c>
      <c r="T383" s="439">
        <f>VLOOKUP(Table2[[#This Row],[Course Title]],'TSD-Data'!$A$1:$E$56,5,FALSE)</f>
        <v>1</v>
      </c>
      <c r="U383" s="439">
        <v>33</v>
      </c>
      <c r="V383" s="439">
        <f>Table2[[#This Row],[Quotas]]-Table2[[#This Row],[Open Quotas]]</f>
        <v>0</v>
      </c>
      <c r="W383" s="439"/>
      <c r="X383" s="439"/>
      <c r="Y383" s="440"/>
      <c r="Z383" s="439"/>
      <c r="AA383" s="439"/>
      <c r="AB383" s="439"/>
      <c r="AC383" s="439"/>
      <c r="AD383" s="440">
        <f ca="1">Table2[[#This Row],[End Date]]+2-TODAY()</f>
        <v>70</v>
      </c>
      <c r="AE383" s="439">
        <f>IF(ISBLANK(Table2[[#This Row],[Received by]]),1,0)</f>
        <v>1</v>
      </c>
      <c r="AF383" s="439">
        <f ca="1">IF(Table2[[#This Row],[Start Date]]&gt;TODAY(),1,)</f>
        <v>1</v>
      </c>
      <c r="AG383" s="439">
        <f>IF(ISBLANK(Table2[[#This Row],[Primary Instructor]]),0,1)</f>
        <v>1</v>
      </c>
      <c r="AH383" s="439">
        <f>IF(ISBLANK(Table2[[#This Row],[Instructor 2]]),0,1)</f>
        <v>0</v>
      </c>
      <c r="AI383" s="439">
        <f>Table2[[#This Row],[Course Length (Hours)]]/(SUM(Table2[[#This Row],[1]:[2]]))</f>
        <v>8</v>
      </c>
      <c r="AJ383" s="439">
        <v>30</v>
      </c>
      <c r="AK383" s="441">
        <v>4</v>
      </c>
    </row>
    <row r="384" spans="1:37" s="408" customFormat="1" x14ac:dyDescent="0.25">
      <c r="A384" s="502"/>
      <c r="B384" s="503" t="s">
        <v>51</v>
      </c>
      <c r="C384" s="505" t="str">
        <f>VLOOKUP(Table2[[#This Row],[Course Title]],'TSD-Data'!$A$1:$E$56,2,FALSE)</f>
        <v>A-493-0335</v>
      </c>
      <c r="D384" s="505" t="str">
        <f>VLOOKUP(Table2[[#This Row],[Course Title]],'TSD-Data'!$A$1:$E$56,3,FALSE)</f>
        <v>09ND</v>
      </c>
      <c r="E384" s="503" t="s">
        <v>86</v>
      </c>
      <c r="F384" s="506">
        <v>45845</v>
      </c>
      <c r="G384" s="506">
        <v>45848</v>
      </c>
      <c r="H384" s="506"/>
      <c r="I384" s="443">
        <v>0.5</v>
      </c>
      <c r="J384" s="443">
        <v>0.375</v>
      </c>
      <c r="K384" s="443">
        <v>0.79166666666666663</v>
      </c>
      <c r="L384" s="443">
        <v>0.75</v>
      </c>
      <c r="M384" s="443">
        <v>0.25</v>
      </c>
      <c r="N384" s="443">
        <v>4.1666666666666664E-2</v>
      </c>
      <c r="O384" s="437" t="s">
        <v>315</v>
      </c>
      <c r="P384" s="502"/>
      <c r="Q384" s="365"/>
      <c r="R384" s="509">
        <f>VLOOKUP(Table2[[#This Row],[Course Title]],'TSD-Data'!$A$1:$E$56,4,FALSE)</f>
        <v>45</v>
      </c>
      <c r="S384" s="509">
        <f>VLOOKUP(Table2[[#This Row],[Course Title]],'TSD-Data'!$A$1:$F$53,6,FALSE)</f>
        <v>32</v>
      </c>
      <c r="T384" s="439">
        <f>VLOOKUP(Table2[[#This Row],[Course Title]],'TSD-Data'!$A$1:$E$56,5,FALSE)</f>
        <v>4</v>
      </c>
      <c r="U384" s="439">
        <v>400</v>
      </c>
      <c r="V384" s="439">
        <f>Table2[[#This Row],[Quotas]]-Table2[[#This Row],[Open Quotas]]</f>
        <v>3</v>
      </c>
      <c r="W384" s="439"/>
      <c r="X384" s="509"/>
      <c r="Y384" s="511"/>
      <c r="Z384" s="509"/>
      <c r="AA384" s="509"/>
      <c r="AB384" s="509"/>
      <c r="AC384" s="509"/>
      <c r="AD384" s="511">
        <f ca="1">Table2[[#This Row],[End Date]]+2-TODAY()</f>
        <v>73</v>
      </c>
      <c r="AE384" s="509">
        <f>IF(ISBLANK(Table2[[#This Row],[Received by]]),1,0)</f>
        <v>1</v>
      </c>
      <c r="AF384" s="509">
        <f ca="1">IF(Table2[[#This Row],[Start Date]]&gt;TODAY(),1,)</f>
        <v>1</v>
      </c>
      <c r="AG384" s="509">
        <f>IF(ISBLANK(Table2[[#This Row],[Primary Instructor]]),0,1)</f>
        <v>1</v>
      </c>
      <c r="AH384" s="509">
        <f>IF(ISBLANK(Table2[[#This Row],[Instructor 2]]),0,1)</f>
        <v>0</v>
      </c>
      <c r="AI384" s="509">
        <f>Table2[[#This Row],[Course Length (Hours)]]/(SUM(Table2[[#This Row],[1]:[2]]))</f>
        <v>32</v>
      </c>
      <c r="AJ384" s="439">
        <v>42</v>
      </c>
      <c r="AK384" s="441">
        <v>4</v>
      </c>
    </row>
    <row r="385" spans="1:37" s="408" customFormat="1" x14ac:dyDescent="0.25">
      <c r="A385" s="438"/>
      <c r="B385" s="433" t="s">
        <v>39</v>
      </c>
      <c r="C385" s="438" t="str">
        <f>VLOOKUP(Table2[[#This Row],[Course Title]],'TSD-Data'!$A$1:$E$56,2,FALSE)</f>
        <v>A-570-0100</v>
      </c>
      <c r="D385" s="438" t="str">
        <f>VLOOKUP(Table2[[#This Row],[Course Title]],'TSD-Data'!$A$1:$E$56,3,FALSE)</f>
        <v>18B7</v>
      </c>
      <c r="E385" s="433" t="s">
        <v>86</v>
      </c>
      <c r="F385" s="418">
        <v>45845</v>
      </c>
      <c r="G385" s="418">
        <v>45846</v>
      </c>
      <c r="H385" s="417"/>
      <c r="I385" s="443">
        <v>0.5</v>
      </c>
      <c r="J385" s="443">
        <v>0.375</v>
      </c>
      <c r="K385" s="443">
        <v>0.79166666666666663</v>
      </c>
      <c r="L385" s="443">
        <v>0.75</v>
      </c>
      <c r="M385" s="443">
        <v>0.25</v>
      </c>
      <c r="N385" s="443">
        <v>4.1666666666666664E-2</v>
      </c>
      <c r="O385" s="437" t="s">
        <v>288</v>
      </c>
      <c r="P385" s="437"/>
      <c r="Q385" s="365"/>
      <c r="R385" s="439">
        <f>VLOOKUP(Table2[[#This Row],[Course Title]],'TSD-Data'!$A$1:$E$56,4,FALSE)</f>
        <v>45</v>
      </c>
      <c r="S385" s="439">
        <f>VLOOKUP(Table2[[#This Row],[Course Title]],'TSD-Data'!$A$1:$F$53,6,FALSE)</f>
        <v>16</v>
      </c>
      <c r="T385" s="439">
        <f>VLOOKUP(Table2[[#This Row],[Course Title]],'TSD-Data'!$A$1:$E$56,5,FALSE)</f>
        <v>2</v>
      </c>
      <c r="U385" s="439">
        <v>621</v>
      </c>
      <c r="V385" s="439">
        <f>Table2[[#This Row],[Quotas]]-Table2[[#This Row],[Open Quotas]]</f>
        <v>4</v>
      </c>
      <c r="W385" s="439"/>
      <c r="X385" s="444"/>
      <c r="Y385" s="444"/>
      <c r="Z385" s="438"/>
      <c r="AA385" s="438"/>
      <c r="AB385" s="444"/>
      <c r="AC385" s="439"/>
      <c r="AD385" s="440">
        <f ca="1">Table2[[#This Row],[End Date]]+2-TODAY()</f>
        <v>71</v>
      </c>
      <c r="AE385" s="439">
        <f>IF(ISBLANK(Table2[[#This Row],[Received by]]),1,0)</f>
        <v>1</v>
      </c>
      <c r="AF385" s="439">
        <f ca="1">IF(Table2[[#This Row],[Start Date]]&gt;TODAY(),1,)</f>
        <v>1</v>
      </c>
      <c r="AG385" s="439">
        <f>IF(ISBLANK(Table2[[#This Row],[Primary Instructor]]),0,1)</f>
        <v>1</v>
      </c>
      <c r="AH385" s="439">
        <f>IF(ISBLANK(Table2[[#This Row],[Instructor 2]]),0,1)</f>
        <v>0</v>
      </c>
      <c r="AI385" s="439">
        <f>Table2[[#This Row],[Course Length (Hours)]]/(SUM(Table2[[#This Row],[1]:[2]]))</f>
        <v>16</v>
      </c>
      <c r="AJ385" s="439">
        <v>41</v>
      </c>
      <c r="AK385" s="441">
        <v>4</v>
      </c>
    </row>
    <row r="386" spans="1:37" s="408" customFormat="1" x14ac:dyDescent="0.25">
      <c r="A386" s="437"/>
      <c r="B386" s="433" t="s">
        <v>53</v>
      </c>
      <c r="C386" s="438" t="str">
        <f>VLOOKUP(Table2[[#This Row],[Course Title]],'TSD-Data'!$A$1:$E$56,2,FALSE)</f>
        <v>A-493-0072</v>
      </c>
      <c r="D386" s="438" t="str">
        <f>VLOOKUP(Table2[[#This Row],[Course Title]],'TSD-Data'!$A$1:$E$56,3,FALSE)</f>
        <v>713U</v>
      </c>
      <c r="E386" s="433" t="s">
        <v>185</v>
      </c>
      <c r="F386" s="418">
        <v>45845</v>
      </c>
      <c r="G386" s="418">
        <v>45849</v>
      </c>
      <c r="H386" s="417">
        <v>0.33333333333333331</v>
      </c>
      <c r="I386" s="417"/>
      <c r="J386" s="417"/>
      <c r="K386" s="417"/>
      <c r="L386" s="417"/>
      <c r="M386" s="417"/>
      <c r="N386" s="418"/>
      <c r="O386" s="437" t="s">
        <v>318</v>
      </c>
      <c r="P386" s="437" t="s">
        <v>274</v>
      </c>
      <c r="Q386" s="365"/>
      <c r="R386" s="439">
        <f>VLOOKUP(Table2[[#This Row],[Course Title]],'TSD-Data'!$A$1:$E$56,4,FALSE)</f>
        <v>30</v>
      </c>
      <c r="S386" s="439">
        <f>VLOOKUP(Table2[[#This Row],[Course Title]],'TSD-Data'!$A$1:$F$53,6,FALSE)</f>
        <v>40</v>
      </c>
      <c r="T386" s="439">
        <f>VLOOKUP(Table2[[#This Row],[Course Title]],'TSD-Data'!$A$1:$E$56,5,FALSE)</f>
        <v>5</v>
      </c>
      <c r="U386" s="439">
        <v>57</v>
      </c>
      <c r="V386" s="439">
        <f>Table2[[#This Row],[Quotas]]-Table2[[#This Row],[Open Quotas]]</f>
        <v>16</v>
      </c>
      <c r="W386" s="439"/>
      <c r="X386" s="439"/>
      <c r="Y386" s="440"/>
      <c r="Z386" s="439"/>
      <c r="AA386" s="439"/>
      <c r="AB386" s="439"/>
      <c r="AC386" s="439"/>
      <c r="AD386" s="440">
        <f ca="1">Table2[[#This Row],[End Date]]+2-TODAY()</f>
        <v>74</v>
      </c>
      <c r="AE386" s="439">
        <f>IF(ISBLANK(Table2[[#This Row],[Received by]]),1,0)</f>
        <v>1</v>
      </c>
      <c r="AF386" s="439">
        <f ca="1">IF(Table2[[#This Row],[Start Date]]&gt;TODAY(),1,)</f>
        <v>1</v>
      </c>
      <c r="AG386" s="439">
        <f>IF(ISBLANK(Table2[[#This Row],[Primary Instructor]]),0,1)</f>
        <v>1</v>
      </c>
      <c r="AH386" s="439">
        <f>IF(ISBLANK(Table2[[#This Row],[Instructor 2]]),0,1)</f>
        <v>1</v>
      </c>
      <c r="AI386" s="439">
        <f>Table2[[#This Row],[Course Length (Hours)]]/(SUM(Table2[[#This Row],[1]:[2]]))</f>
        <v>20</v>
      </c>
      <c r="AJ386" s="439">
        <v>14</v>
      </c>
      <c r="AK386" s="441">
        <v>4</v>
      </c>
    </row>
    <row r="387" spans="1:37" s="408" customFormat="1" x14ac:dyDescent="0.25">
      <c r="A387" s="429" t="s">
        <v>476</v>
      </c>
      <c r="B387" s="433" t="s">
        <v>28</v>
      </c>
      <c r="C387" s="427" t="str">
        <f>VLOOKUP(Table2[[#This Row],[Course Title]],'TSD-Data'!$A$1:$E$56,2,FALSE)</f>
        <v>A-493-0013</v>
      </c>
      <c r="D387" s="427">
        <f>VLOOKUP(Table2[[#This Row],[Course Title]],'TSD-Data'!$A$1:$E$56,3,FALSE)</f>
        <v>3683</v>
      </c>
      <c r="E387" s="433" t="s">
        <v>159</v>
      </c>
      <c r="F387" s="418">
        <v>45846</v>
      </c>
      <c r="G387" s="418">
        <v>45848</v>
      </c>
      <c r="H387" s="422">
        <v>0.33333333333333331</v>
      </c>
      <c r="I387" s="422"/>
      <c r="J387" s="420"/>
      <c r="K387" s="420"/>
      <c r="L387" s="420"/>
      <c r="M387" s="420"/>
      <c r="N387" s="420"/>
      <c r="O387" s="429" t="s">
        <v>257</v>
      </c>
      <c r="P387" s="429"/>
      <c r="Q387" s="365"/>
      <c r="R387" s="414">
        <f>VLOOKUP(Table2[[#This Row],[Course Title]],'TSD-Data'!$A$1:$E$56,4,FALSE)</f>
        <v>40</v>
      </c>
      <c r="S387" s="414">
        <f>VLOOKUP(Table2[[#This Row],[Course Title]],'TSD-Data'!$A$1:$F$53,6,FALSE)</f>
        <v>24</v>
      </c>
      <c r="T387" s="414">
        <f>VLOOKUP(Table2[[#This Row],[Course Title]],'TSD-Data'!$A$1:$E$56,5,FALSE)</f>
        <v>3</v>
      </c>
      <c r="U387" s="414">
        <v>0</v>
      </c>
      <c r="V387" s="414">
        <f ca="1">Table2[[#This Row],[Quotas]]-Table2[[#This Row],[Open Quotas]]</f>
        <v>0</v>
      </c>
      <c r="W387" s="414"/>
      <c r="X387" s="414"/>
      <c r="Y387" s="419"/>
      <c r="Z387" s="414"/>
      <c r="AA387" s="414"/>
      <c r="AB387" s="427"/>
      <c r="AC387" s="414"/>
      <c r="AD387" s="419">
        <f ca="1">Table2[[#This Row],[End Date]]+2-TODAY()</f>
        <v>73</v>
      </c>
      <c r="AE387" s="414">
        <f>IF(ISBLANK(Table2[[#This Row],[Received by]]),1,0)</f>
        <v>1</v>
      </c>
      <c r="AF387" s="414">
        <f ca="1">IF(Table2[[#This Row],[Start Date]]&gt;TODAY(),1,)</f>
        <v>1</v>
      </c>
      <c r="AG387" s="414">
        <f>IF(ISBLANK(Table2[[#This Row],[Primary Instructor]]),0,1)</f>
        <v>1</v>
      </c>
      <c r="AH387" s="414">
        <f>IF(ISBLANK(Table2[[#This Row],[Instructor 2]]),0,1)</f>
        <v>0</v>
      </c>
      <c r="AI387" s="414">
        <f>Table2[[#This Row],[Course Length (Hours)]]/(SUM(Table2[[#This Row],[1]:[2]]))</f>
        <v>24</v>
      </c>
      <c r="AJ387" s="414">
        <f ca="1">Table2[[#This Row],[Quotas]]-Table2[[#This Row],[Registered]]</f>
        <v>40</v>
      </c>
      <c r="AK387" s="430">
        <v>4</v>
      </c>
    </row>
    <row r="388" spans="1:37" s="408" customFormat="1" x14ac:dyDescent="0.25">
      <c r="A388" s="429"/>
      <c r="B388" s="433" t="s">
        <v>57</v>
      </c>
      <c r="C388" s="427" t="str">
        <f>VLOOKUP(Table2[[#This Row],[Course Title]],'TSD-Data'!$A$1:$E$56,2,FALSE)</f>
        <v>A-493-0099</v>
      </c>
      <c r="D388" s="427" t="str">
        <f>VLOOKUP(Table2[[#This Row],[Course Title]],'TSD-Data'!$A$1:$E$56,3,FALSE)</f>
        <v>12JW</v>
      </c>
      <c r="E388" s="425" t="s">
        <v>86</v>
      </c>
      <c r="F388" s="420">
        <v>45846</v>
      </c>
      <c r="G388" s="420">
        <v>45848</v>
      </c>
      <c r="H388" s="420"/>
      <c r="I388" s="421">
        <v>0.33333333333333331</v>
      </c>
      <c r="J388" s="422">
        <v>0.20833333333333334</v>
      </c>
      <c r="K388" s="422">
        <v>0.625</v>
      </c>
      <c r="L388" s="422">
        <v>0.54166666666666663</v>
      </c>
      <c r="M388" s="422">
        <v>8.3333333333333329E-2</v>
      </c>
      <c r="N388" s="422">
        <v>0.875</v>
      </c>
      <c r="O388" s="429" t="s">
        <v>305</v>
      </c>
      <c r="P388" s="429"/>
      <c r="Q388" s="365"/>
      <c r="R388" s="414">
        <f>VLOOKUP(Table2[[#This Row],[Course Title]],'TSD-Data'!$A$1:$E$56,4,FALSE)</f>
        <v>45</v>
      </c>
      <c r="S388" s="414">
        <f>VLOOKUP(Table2[[#This Row],[Course Title]],'TSD-Data'!$A$1:$F$53,6,FALSE)</f>
        <v>24</v>
      </c>
      <c r="T388" s="414">
        <f>VLOOKUP(Table2[[#This Row],[Course Title]],'TSD-Data'!$A$1:$E$56,5,FALSE)</f>
        <v>3</v>
      </c>
      <c r="U388" s="414">
        <v>368</v>
      </c>
      <c r="V388" s="414">
        <f>Table2[[#This Row],[Quotas]]-Table2[[#This Row],[Open Quotas]]</f>
        <v>6</v>
      </c>
      <c r="W388" s="414"/>
      <c r="X388" s="414"/>
      <c r="Y388" s="419"/>
      <c r="Z388" s="414"/>
      <c r="AA388" s="414"/>
      <c r="AB388" s="459"/>
      <c r="AC388" s="414"/>
      <c r="AD388" s="419">
        <f ca="1">Table2[[#This Row],[End Date]]+2-TODAY()</f>
        <v>73</v>
      </c>
      <c r="AE388" s="414">
        <f>IF(ISBLANK(Table2[[#This Row],[Received by]]),1,0)</f>
        <v>1</v>
      </c>
      <c r="AF388" s="414">
        <f ca="1">IF(Table2[[#This Row],[Start Date]]&gt;TODAY(),1,)</f>
        <v>1</v>
      </c>
      <c r="AG388" s="414">
        <f>IF(ISBLANK(Table2[[#This Row],[Primary Instructor]]),0,1)</f>
        <v>1</v>
      </c>
      <c r="AH388" s="414">
        <f>IF(ISBLANK(Table2[[#This Row],[Instructor 2]]),0,1)</f>
        <v>0</v>
      </c>
      <c r="AI388" s="414">
        <f>Table2[[#This Row],[Course Length (Hours)]]/(SUM(Table2[[#This Row],[1]:[2]]))</f>
        <v>24</v>
      </c>
      <c r="AJ388" s="414">
        <v>39</v>
      </c>
      <c r="AK388" s="430">
        <v>4</v>
      </c>
    </row>
    <row r="389" spans="1:37" s="460" customFormat="1" x14ac:dyDescent="0.25">
      <c r="A389" s="429"/>
      <c r="B389" s="433" t="s">
        <v>58</v>
      </c>
      <c r="C389" s="427" t="str">
        <f>VLOOKUP(Table2[[#This Row],[Course Title]],'TSD-Data'!$A$1:$E$56,2,FALSE)</f>
        <v xml:space="preserve">A-493-0075 </v>
      </c>
      <c r="D389" s="427" t="str">
        <f>VLOOKUP(Table2[[#This Row],[Course Title]],'TSD-Data'!$A$1:$E$56,3,FALSE)</f>
        <v>714U</v>
      </c>
      <c r="E389" s="425" t="s">
        <v>199</v>
      </c>
      <c r="F389" s="420">
        <v>45846</v>
      </c>
      <c r="G389" s="420">
        <v>45849</v>
      </c>
      <c r="H389" s="422">
        <v>0.33333333333333331</v>
      </c>
      <c r="I389" s="422"/>
      <c r="J389" s="420"/>
      <c r="K389" s="420"/>
      <c r="L389" s="420"/>
      <c r="M389" s="420"/>
      <c r="N389" s="420"/>
      <c r="O389" s="429" t="s">
        <v>314</v>
      </c>
      <c r="P389" s="429"/>
      <c r="Q389" s="365"/>
      <c r="R389" s="414">
        <f>VLOOKUP(Table2[[#This Row],[Course Title]],'TSD-Data'!$A$1:$E$56,4,FALSE)</f>
        <v>30</v>
      </c>
      <c r="S389" s="414">
        <f>VLOOKUP(Table2[[#This Row],[Course Title]],'TSD-Data'!$A$1:$F$53,6,FALSE)</f>
        <v>32</v>
      </c>
      <c r="T389" s="414">
        <f>VLOOKUP(Table2[[#This Row],[Course Title]],'TSD-Data'!$A$1:$E$56,5,FALSE)</f>
        <v>4</v>
      </c>
      <c r="U389" s="414">
        <v>61</v>
      </c>
      <c r="V389" s="414">
        <f>Table2[[#This Row],[Quotas]]-Table2[[#This Row],[Open Quotas]]</f>
        <v>9</v>
      </c>
      <c r="W389" s="414"/>
      <c r="X389" s="414"/>
      <c r="Y389" s="419"/>
      <c r="Z389" s="414"/>
      <c r="AA389" s="414"/>
      <c r="AB389" s="414"/>
      <c r="AC389" s="414"/>
      <c r="AD389" s="419">
        <f ca="1">Table2[[#This Row],[End Date]]+2-TODAY()</f>
        <v>74</v>
      </c>
      <c r="AE389" s="414">
        <f>IF(ISBLANK(Table2[[#This Row],[Received by]]),1,0)</f>
        <v>1</v>
      </c>
      <c r="AF389" s="414">
        <f ca="1">IF(Table2[[#This Row],[Start Date]]&gt;TODAY(),1,)</f>
        <v>1</v>
      </c>
      <c r="AG389" s="414">
        <f>IF(ISBLANK(Table2[[#This Row],[Primary Instructor]]),0,1)</f>
        <v>1</v>
      </c>
      <c r="AH389" s="414">
        <f>IF(ISBLANK(Table2[[#This Row],[Instructor 2]]),0,1)</f>
        <v>0</v>
      </c>
      <c r="AI389" s="414">
        <f>Table2[[#This Row],[Course Length (Hours)]]/(SUM(Table2[[#This Row],[1]:[2]]))</f>
        <v>32</v>
      </c>
      <c r="AJ389" s="414">
        <v>21</v>
      </c>
      <c r="AK389" s="430">
        <v>4</v>
      </c>
    </row>
    <row r="390" spans="1:37" s="408" customFormat="1" x14ac:dyDescent="0.25">
      <c r="A390" s="437"/>
      <c r="B390" s="433" t="s">
        <v>35</v>
      </c>
      <c r="C390" s="438" t="str">
        <f>VLOOKUP(Table2[[#This Row],[Course Title]],'TSD-Data'!$A$1:$E$56,2,FALSE)</f>
        <v>A-493-2501</v>
      </c>
      <c r="D390" s="438" t="str">
        <f>VLOOKUP(Table2[[#This Row],[Course Title]],'TSD-Data'!$A$1:$E$56,3,FALSE)</f>
        <v>05ZE</v>
      </c>
      <c r="E390" s="433" t="s">
        <v>159</v>
      </c>
      <c r="F390" s="418">
        <v>45846</v>
      </c>
      <c r="G390" s="418">
        <v>45846</v>
      </c>
      <c r="H390" s="417">
        <v>0.33333333333333331</v>
      </c>
      <c r="I390" s="417"/>
      <c r="J390" s="417"/>
      <c r="K390" s="417"/>
      <c r="L390" s="417"/>
      <c r="M390" s="417"/>
      <c r="N390" s="417"/>
      <c r="O390" s="437" t="s">
        <v>280</v>
      </c>
      <c r="P390" s="437"/>
      <c r="Q390" s="365"/>
      <c r="R390" s="439">
        <f>VLOOKUP(Table2[[#This Row],[Course Title]],'TSD-Data'!$A$1:$E$56,4,FALSE)</f>
        <v>30</v>
      </c>
      <c r="S390" s="439">
        <f>VLOOKUP(Table2[[#This Row],[Course Title]],'TSD-Data'!$A$1:$F$53,6,FALSE)</f>
        <v>8</v>
      </c>
      <c r="T390" s="439">
        <f>VLOOKUP(Table2[[#This Row],[Course Title]],'TSD-Data'!$A$1:$E$56,5,FALSE)</f>
        <v>1</v>
      </c>
      <c r="U390" s="439">
        <v>31</v>
      </c>
      <c r="V390" s="439">
        <f>Table2[[#This Row],[Quotas]]-Table2[[#This Row],[Open Quotas]]</f>
        <v>0</v>
      </c>
      <c r="W390" s="439"/>
      <c r="X390" s="439"/>
      <c r="Y390" s="440"/>
      <c r="Z390" s="439"/>
      <c r="AA390" s="439"/>
      <c r="AB390" s="439"/>
      <c r="AC390" s="439"/>
      <c r="AD390" s="440">
        <f ca="1">Table2[[#This Row],[End Date]]+2-TODAY()</f>
        <v>71</v>
      </c>
      <c r="AE390" s="439">
        <f>IF(ISBLANK(Table2[[#This Row],[Received by]]),1,0)</f>
        <v>1</v>
      </c>
      <c r="AF390" s="439">
        <f ca="1">IF(Table2[[#This Row],[Start Date]]&gt;TODAY(),1,)</f>
        <v>1</v>
      </c>
      <c r="AG390" s="439">
        <f>IF(ISBLANK(Table2[[#This Row],[Primary Instructor]]),0,1)</f>
        <v>1</v>
      </c>
      <c r="AH390" s="439">
        <f>IF(ISBLANK(Table2[[#This Row],[Instructor 2]]),0,1)</f>
        <v>0</v>
      </c>
      <c r="AI390" s="439">
        <f>Table2[[#This Row],[Course Length (Hours)]]/(SUM(Table2[[#This Row],[1]:[2]]))</f>
        <v>8</v>
      </c>
      <c r="AJ390" s="439">
        <v>30</v>
      </c>
      <c r="AK390" s="441">
        <v>4</v>
      </c>
    </row>
    <row r="391" spans="1:37" s="408" customFormat="1" x14ac:dyDescent="0.25">
      <c r="A391" s="437"/>
      <c r="B391" s="433" t="s">
        <v>33</v>
      </c>
      <c r="C391" s="438" t="str">
        <f>VLOOKUP(Table2[[#This Row],[Course Title]],'TSD-Data'!$A$1:$E$56,2,FALSE)</f>
        <v>A-493-2301</v>
      </c>
      <c r="D391" s="438" t="str">
        <f>VLOOKUP(Table2[[#This Row],[Course Title]],'TSD-Data'!$A$1:$E$56,3,FALSE)</f>
        <v>05ZD</v>
      </c>
      <c r="E391" s="450" t="s">
        <v>169</v>
      </c>
      <c r="F391" s="452">
        <v>45847</v>
      </c>
      <c r="G391" s="452">
        <v>45847</v>
      </c>
      <c r="H391" s="417">
        <v>0.33333333333333331</v>
      </c>
      <c r="I391" s="417"/>
      <c r="J391" s="417"/>
      <c r="K391" s="417"/>
      <c r="L391" s="417"/>
      <c r="M391" s="417"/>
      <c r="N391" s="417"/>
      <c r="O391" s="437" t="s">
        <v>280</v>
      </c>
      <c r="P391" s="437"/>
      <c r="Q391" s="365"/>
      <c r="R391" s="439">
        <f>VLOOKUP(Table2[[#This Row],[Course Title]],'TSD-Data'!$A$1:$E$56,4,FALSE)</f>
        <v>30</v>
      </c>
      <c r="S391" s="439">
        <f>VLOOKUP(Table2[[#This Row],[Course Title]],'TSD-Data'!$A$1:$F$53,6,FALSE)</f>
        <v>8</v>
      </c>
      <c r="T391" s="439">
        <f>VLOOKUP(Table2[[#This Row],[Course Title]],'TSD-Data'!$A$1:$E$56,5,FALSE)</f>
        <v>1</v>
      </c>
      <c r="U391" s="439">
        <v>38</v>
      </c>
      <c r="V391" s="439">
        <f ca="1">Table2[[#This Row],[Quotas]]-Table2[[#This Row],[Open Quotas]]</f>
        <v>0</v>
      </c>
      <c r="W391" s="439"/>
      <c r="X391" s="439"/>
      <c r="Y391" s="440"/>
      <c r="Z391" s="439"/>
      <c r="AA391" s="439"/>
      <c r="AB391" s="438"/>
      <c r="AC391" s="439"/>
      <c r="AD391" s="440">
        <f ca="1">Table2[[#This Row],[End Date]]+2-TODAY()</f>
        <v>72</v>
      </c>
      <c r="AE391" s="439">
        <f>IF(ISBLANK(Table2[[#This Row],[Received by]]),1,0)</f>
        <v>1</v>
      </c>
      <c r="AF391" s="439">
        <f ca="1">IF(Table2[[#This Row],[Start Date]]&gt;TODAY(),1,)</f>
        <v>1</v>
      </c>
      <c r="AG391" s="439">
        <f>IF(ISBLANK(Table2[[#This Row],[Primary Instructor]]),0,1)</f>
        <v>1</v>
      </c>
      <c r="AH391" s="439">
        <f>IF(ISBLANK(Table2[[#This Row],[Instructor 2]]),0,1)</f>
        <v>0</v>
      </c>
      <c r="AI391" s="439">
        <f>Table2[[#This Row],[Course Length (Hours)]]/(SUM(Table2[[#This Row],[1]:[2]]))</f>
        <v>8</v>
      </c>
      <c r="AJ391" s="439">
        <f ca="1">Table2[[#This Row],[Quotas]]-Table2[[#This Row],[Registered]]</f>
        <v>30</v>
      </c>
      <c r="AK391" s="441">
        <v>4</v>
      </c>
    </row>
    <row r="392" spans="1:37" s="408" customFormat="1" x14ac:dyDescent="0.25">
      <c r="A392" s="437"/>
      <c r="B392" s="433" t="s">
        <v>35</v>
      </c>
      <c r="C392" s="438" t="str">
        <f>VLOOKUP(Table2[[#This Row],[Course Title]],'TSD-Data'!$A$1:$E$56,2,FALSE)</f>
        <v>A-493-2501</v>
      </c>
      <c r="D392" s="438" t="str">
        <f>VLOOKUP(Table2[[#This Row],[Course Title]],'TSD-Data'!$A$1:$E$56,3,FALSE)</f>
        <v>05ZE</v>
      </c>
      <c r="E392" s="461" t="s">
        <v>170</v>
      </c>
      <c r="F392" s="518">
        <v>45847</v>
      </c>
      <c r="G392" s="518">
        <v>45847</v>
      </c>
      <c r="H392" s="417">
        <v>0.33333333333333331</v>
      </c>
      <c r="I392" s="417"/>
      <c r="J392" s="417"/>
      <c r="K392" s="417"/>
      <c r="L392" s="417"/>
      <c r="M392" s="417"/>
      <c r="N392" s="417"/>
      <c r="O392" s="437" t="s">
        <v>280</v>
      </c>
      <c r="P392" s="437"/>
      <c r="Q392" s="365"/>
      <c r="R392" s="439">
        <f>VLOOKUP(Table2[[#This Row],[Course Title]],'TSD-Data'!$A$1:$E$56,4,FALSE)</f>
        <v>30</v>
      </c>
      <c r="S392" s="439">
        <f>VLOOKUP(Table2[[#This Row],[Course Title]],'TSD-Data'!$A$1:$F$53,6,FALSE)</f>
        <v>8</v>
      </c>
      <c r="T392" s="439">
        <f>VLOOKUP(Table2[[#This Row],[Course Title]],'TSD-Data'!$A$1:$E$56,5,FALSE)</f>
        <v>1</v>
      </c>
      <c r="U392" s="439">
        <v>20</v>
      </c>
      <c r="V392" s="439">
        <f ca="1">Table2[[#This Row],[Quotas]]-Table2[[#This Row],[Open Quotas]]</f>
        <v>0</v>
      </c>
      <c r="W392" s="439"/>
      <c r="X392" s="439"/>
      <c r="Y392" s="440"/>
      <c r="Z392" s="439"/>
      <c r="AA392" s="439"/>
      <c r="AB392" s="438"/>
      <c r="AC392" s="439"/>
      <c r="AD392" s="440">
        <f ca="1">Table2[[#This Row],[End Date]]+2-TODAY()</f>
        <v>72</v>
      </c>
      <c r="AE392" s="439">
        <f>IF(ISBLANK(Table2[[#This Row],[Received by]]),1,0)</f>
        <v>1</v>
      </c>
      <c r="AF392" s="439">
        <f ca="1">IF(Table2[[#This Row],[Start Date]]&gt;TODAY(),1,)</f>
        <v>1</v>
      </c>
      <c r="AG392" s="439">
        <f>IF(ISBLANK(Table2[[#This Row],[Primary Instructor]]),0,1)</f>
        <v>1</v>
      </c>
      <c r="AH392" s="439">
        <f>IF(ISBLANK(Table2[[#This Row],[Instructor 2]]),0,1)</f>
        <v>0</v>
      </c>
      <c r="AI392" s="439">
        <f>Table2[[#This Row],[Course Length (Hours)]]/(SUM(Table2[[#This Row],[1]:[2]]))</f>
        <v>8</v>
      </c>
      <c r="AJ392" s="439">
        <f ca="1">Table2[[#This Row],[Quotas]]-Table2[[#This Row],[Registered]]</f>
        <v>30</v>
      </c>
      <c r="AK392" s="441">
        <v>4</v>
      </c>
    </row>
    <row r="393" spans="1:37" s="408" customFormat="1" x14ac:dyDescent="0.25">
      <c r="A393" s="437"/>
      <c r="B393" s="433" t="s">
        <v>35</v>
      </c>
      <c r="C393" s="438" t="str">
        <f>VLOOKUP(Table2[[#This Row],[Course Title]],'TSD-Data'!$A$1:$E$56,2,FALSE)</f>
        <v>A-493-2501</v>
      </c>
      <c r="D393" s="438" t="str">
        <f>VLOOKUP(Table2[[#This Row],[Course Title]],'TSD-Data'!$A$1:$E$56,3,FALSE)</f>
        <v>05ZE</v>
      </c>
      <c r="E393" s="433" t="s">
        <v>169</v>
      </c>
      <c r="F393" s="418">
        <v>45848</v>
      </c>
      <c r="G393" s="418">
        <v>45848</v>
      </c>
      <c r="H393" s="417">
        <v>0.33333333333333331</v>
      </c>
      <c r="I393" s="417"/>
      <c r="J393" s="417"/>
      <c r="K393" s="417"/>
      <c r="L393" s="417"/>
      <c r="M393" s="417"/>
      <c r="N393" s="417"/>
      <c r="O393" s="437" t="s">
        <v>280</v>
      </c>
      <c r="P393" s="437"/>
      <c r="Q393" s="365"/>
      <c r="R393" s="439">
        <f>VLOOKUP(Table2[[#This Row],[Course Title]],'TSD-Data'!$A$1:$E$56,4,FALSE)</f>
        <v>30</v>
      </c>
      <c r="S393" s="439">
        <f>VLOOKUP(Table2[[#This Row],[Course Title]],'TSD-Data'!$A$1:$F$53,6,FALSE)</f>
        <v>8</v>
      </c>
      <c r="T393" s="439">
        <f>VLOOKUP(Table2[[#This Row],[Course Title]],'TSD-Data'!$A$1:$E$56,5,FALSE)</f>
        <v>1</v>
      </c>
      <c r="U393" s="439">
        <v>36</v>
      </c>
      <c r="V393" s="439">
        <f ca="1">Table2[[#This Row],[Quotas]]-Table2[[#This Row],[Open Quotas]]</f>
        <v>0</v>
      </c>
      <c r="W393" s="439"/>
      <c r="X393" s="439"/>
      <c r="Y393" s="440"/>
      <c r="Z393" s="439"/>
      <c r="AA393" s="439"/>
      <c r="AB393" s="438"/>
      <c r="AC393" s="439"/>
      <c r="AD393" s="440">
        <f ca="1">Table2[[#This Row],[End Date]]+2-TODAY()</f>
        <v>73</v>
      </c>
      <c r="AE393" s="439">
        <f>IF(ISBLANK(Table2[[#This Row],[Received by]]),1,0)</f>
        <v>1</v>
      </c>
      <c r="AF393" s="439">
        <f ca="1">IF(Table2[[#This Row],[Start Date]]&gt;TODAY(),1,)</f>
        <v>1</v>
      </c>
      <c r="AG393" s="439">
        <f>IF(ISBLANK(Table2[[#This Row],[Primary Instructor]]),0,1)</f>
        <v>1</v>
      </c>
      <c r="AH393" s="439">
        <f>IF(ISBLANK(Table2[[#This Row],[Instructor 2]]),0,1)</f>
        <v>0</v>
      </c>
      <c r="AI393" s="439">
        <f>Table2[[#This Row],[Course Length (Hours)]]/(SUM(Table2[[#This Row],[1]:[2]]))</f>
        <v>8</v>
      </c>
      <c r="AJ393" s="439">
        <f ca="1">Table2[[#This Row],[Quotas]]-Table2[[#This Row],[Registered]]</f>
        <v>30</v>
      </c>
      <c r="AK393" s="441">
        <v>4</v>
      </c>
    </row>
    <row r="394" spans="1:37" s="408" customFormat="1" x14ac:dyDescent="0.25">
      <c r="A394" s="429"/>
      <c r="B394" s="433" t="s">
        <v>89</v>
      </c>
      <c r="C394" s="427" t="str">
        <f>VLOOKUP(Table2[[#This Row],[Course Title]],'TSD-Data'!$A$1:$E$56,2,FALSE)</f>
        <v>A-493-0014</v>
      </c>
      <c r="D394" s="427">
        <f>VLOOKUP(Table2[[#This Row],[Course Title]],'TSD-Data'!$A$1:$E$56,3,FALSE)</f>
        <v>3878</v>
      </c>
      <c r="E394" s="450" t="s">
        <v>205</v>
      </c>
      <c r="F394" s="418">
        <v>45852</v>
      </c>
      <c r="G394" s="418">
        <v>45854</v>
      </c>
      <c r="H394" s="422">
        <v>0.33333333333333331</v>
      </c>
      <c r="I394" s="421"/>
      <c r="J394" s="422"/>
      <c r="K394" s="422"/>
      <c r="L394" s="422"/>
      <c r="M394" s="422"/>
      <c r="N394" s="422"/>
      <c r="O394" s="429" t="s">
        <v>316</v>
      </c>
      <c r="P394" s="429" t="s">
        <v>315</v>
      </c>
      <c r="Q394" s="365"/>
      <c r="R394" s="414">
        <f>VLOOKUP(Table2[[#This Row],[Course Title]],'TSD-Data'!$A$1:$E$56,4,FALSE)</f>
        <v>25</v>
      </c>
      <c r="S394" s="414">
        <f>VLOOKUP(Table2[[#This Row],[Course Title]],'TSD-Data'!$A$1:$F$53,6,FALSE)</f>
        <v>24</v>
      </c>
      <c r="T394" s="414">
        <f>VLOOKUP(Table2[[#This Row],[Course Title]],'TSD-Data'!$A$1:$E$56,5,FALSE)</f>
        <v>3</v>
      </c>
      <c r="U394" s="414">
        <v>25</v>
      </c>
      <c r="V394" s="414">
        <f>Table2[[#This Row],[Quotas]]-Table2[[#This Row],[Open Quotas]]</f>
        <v>14</v>
      </c>
      <c r="W394" s="414"/>
      <c r="X394" s="414"/>
      <c r="Y394" s="419"/>
      <c r="Z394" s="414"/>
      <c r="AA394" s="414"/>
      <c r="AB394" s="414"/>
      <c r="AC394" s="414"/>
      <c r="AD394" s="419">
        <f ca="1">Table2[[#This Row],[End Date]]+2-TODAY()</f>
        <v>79</v>
      </c>
      <c r="AE394" s="414">
        <f>IF(ISBLANK(Table2[[#This Row],[Received by]]),1,0)</f>
        <v>1</v>
      </c>
      <c r="AF394" s="414">
        <f ca="1">IF(Table2[[#This Row],[Start Date]]&gt;TODAY(),1,)</f>
        <v>1</v>
      </c>
      <c r="AG394" s="414">
        <f>IF(ISBLANK(Table2[[#This Row],[Primary Instructor]]),0,1)</f>
        <v>1</v>
      </c>
      <c r="AH394" s="414">
        <f>IF(ISBLANK(Table2[[#This Row],[Instructor 2]]),0,1)</f>
        <v>1</v>
      </c>
      <c r="AI394" s="414">
        <f>Table2[[#This Row],[Course Length (Hours)]]/(SUM(Table2[[#This Row],[1]:[2]]))</f>
        <v>12</v>
      </c>
      <c r="AJ394" s="414">
        <v>11</v>
      </c>
      <c r="AK394" s="430">
        <v>4</v>
      </c>
    </row>
    <row r="395" spans="1:37" s="408" customFormat="1" x14ac:dyDescent="0.25">
      <c r="A395" s="433"/>
      <c r="B395" s="433" t="s">
        <v>37</v>
      </c>
      <c r="C395" s="438" t="str">
        <f>VLOOKUP(Table2[[#This Row],[Course Title]],'TSD-Data'!$A$1:$E$56,2,FALSE)</f>
        <v>A-493-0665</v>
      </c>
      <c r="D395" s="438" t="str">
        <f>VLOOKUP(Table2[[#This Row],[Course Title]],'TSD-Data'!$A$1:$E$56,3,FALSE)</f>
        <v>10KW</v>
      </c>
      <c r="E395" s="433" t="s">
        <v>86</v>
      </c>
      <c r="F395" s="418">
        <v>45852</v>
      </c>
      <c r="G395" s="418">
        <v>45854</v>
      </c>
      <c r="H395" s="417"/>
      <c r="I395" s="443">
        <v>0.5</v>
      </c>
      <c r="J395" s="443">
        <v>0.375</v>
      </c>
      <c r="K395" s="443">
        <v>0.79166666666666663</v>
      </c>
      <c r="L395" s="443">
        <v>0.75</v>
      </c>
      <c r="M395" s="443">
        <v>0.25</v>
      </c>
      <c r="N395" s="443">
        <v>4.1666666666666664E-2</v>
      </c>
      <c r="O395" s="437" t="s">
        <v>286</v>
      </c>
      <c r="P395" s="437"/>
      <c r="Q395" s="365"/>
      <c r="R395" s="439">
        <f>VLOOKUP(Table2[[#This Row],[Course Title]],'TSD-Data'!$A$1:$E$56,4,FALSE)</f>
        <v>45</v>
      </c>
      <c r="S395" s="439">
        <f>VLOOKUP(Table2[[#This Row],[Course Title]],'TSD-Data'!$A$1:$F$53,6,FALSE)</f>
        <v>24</v>
      </c>
      <c r="T395" s="439">
        <f>VLOOKUP(Table2[[#This Row],[Course Title]],'TSD-Data'!$A$1:$E$56,5,FALSE)</f>
        <v>3</v>
      </c>
      <c r="U395" s="439">
        <v>405</v>
      </c>
      <c r="V395" s="439">
        <f>Table2[[#This Row],[Quotas]]-Table2[[#This Row],[Open Quotas]]</f>
        <v>6</v>
      </c>
      <c r="W395" s="439"/>
      <c r="X395" s="439"/>
      <c r="Y395" s="440"/>
      <c r="Z395" s="439"/>
      <c r="AA395" s="439"/>
      <c r="AB395" s="438"/>
      <c r="AC395" s="439"/>
      <c r="AD395" s="440">
        <f ca="1">Table2[[#This Row],[End Date]]+2-TODAY()</f>
        <v>79</v>
      </c>
      <c r="AE395" s="439">
        <f>IF(ISBLANK(Table2[[#This Row],[Received by]]),1,0)</f>
        <v>1</v>
      </c>
      <c r="AF395" s="439">
        <f ca="1">IF(Table2[[#This Row],[Start Date]]&gt;TODAY(),1,)</f>
        <v>1</v>
      </c>
      <c r="AG395" s="439">
        <f>IF(ISBLANK(Table2[[#This Row],[Primary Instructor]]),0,1)</f>
        <v>1</v>
      </c>
      <c r="AH395" s="439">
        <f>IF(ISBLANK(Table2[[#This Row],[Instructor 2]]),0,1)</f>
        <v>0</v>
      </c>
      <c r="AI395" s="439">
        <f>Table2[[#This Row],[Course Length (Hours)]]/(SUM(Table2[[#This Row],[1]:[2]]))</f>
        <v>24</v>
      </c>
      <c r="AJ395" s="439">
        <v>39</v>
      </c>
      <c r="AK395" s="441">
        <v>4</v>
      </c>
    </row>
    <row r="396" spans="1:37" s="408" customFormat="1" x14ac:dyDescent="0.25">
      <c r="A396" s="429"/>
      <c r="B396" s="433" t="s">
        <v>55</v>
      </c>
      <c r="C396" s="427" t="str">
        <f>VLOOKUP(Table2[[#This Row],[Course Title]],'TSD-Data'!$A$1:$E$56,2,FALSE)</f>
        <v>A-493-0103</v>
      </c>
      <c r="D396" s="427" t="str">
        <f>VLOOKUP(Table2[[#This Row],[Course Title]],'TSD-Data'!$A$1:$E$56,3,FALSE)</f>
        <v>12JY</v>
      </c>
      <c r="E396" s="433" t="s">
        <v>219</v>
      </c>
      <c r="F396" s="418">
        <v>45852</v>
      </c>
      <c r="G396" s="418">
        <v>45856</v>
      </c>
      <c r="H396" s="422">
        <v>0.33333333333333331</v>
      </c>
      <c r="I396" s="421"/>
      <c r="J396" s="421"/>
      <c r="K396" s="421"/>
      <c r="L396" s="421"/>
      <c r="M396" s="421"/>
      <c r="N396" s="421"/>
      <c r="O396" s="429" t="s">
        <v>314</v>
      </c>
      <c r="P396" s="429"/>
      <c r="Q396" s="365"/>
      <c r="R396" s="414">
        <f>VLOOKUP(Table2[[#This Row],[Course Title]],'TSD-Data'!$A$1:$E$56,4,FALSE)</f>
        <v>25</v>
      </c>
      <c r="S396" s="414">
        <f>VLOOKUP(Table2[[#This Row],[Course Title]],'TSD-Data'!$A$1:$F$53,6,FALSE)</f>
        <v>40</v>
      </c>
      <c r="T396" s="414">
        <f>VLOOKUP(Table2[[#This Row],[Course Title]],'TSD-Data'!$A$1:$E$56,5,FALSE)</f>
        <v>5</v>
      </c>
      <c r="U396" s="414">
        <v>48</v>
      </c>
      <c r="V396" s="414">
        <f>Table2[[#This Row],[Quotas]]-Table2[[#This Row],[Open Quotas]]</f>
        <v>7</v>
      </c>
      <c r="W396" s="414"/>
      <c r="X396" s="414"/>
      <c r="Y396" s="419"/>
      <c r="Z396" s="414"/>
      <c r="AA396" s="414"/>
      <c r="AB396" s="414"/>
      <c r="AC396" s="414"/>
      <c r="AD396" s="419">
        <f ca="1">Table2[[#This Row],[End Date]]+2-TODAY()</f>
        <v>81</v>
      </c>
      <c r="AE396" s="414">
        <f>IF(ISBLANK(Table2[[#This Row],[Received by]]),1,0)</f>
        <v>1</v>
      </c>
      <c r="AF396" s="414">
        <f ca="1">IF(Table2[[#This Row],[Start Date]]&gt;TODAY(),1,)</f>
        <v>1</v>
      </c>
      <c r="AG396" s="414">
        <f>IF(ISBLANK(Table2[[#This Row],[Primary Instructor]]),0,1)</f>
        <v>1</v>
      </c>
      <c r="AH396" s="414">
        <f>IF(ISBLANK(Table2[[#This Row],[Instructor 2]]),0,1)</f>
        <v>0</v>
      </c>
      <c r="AI396" s="414">
        <f>Table2[[#This Row],[Course Length (Hours)]]/(SUM(Table2[[#This Row],[1]:[2]]))</f>
        <v>40</v>
      </c>
      <c r="AJ396" s="414">
        <v>18</v>
      </c>
      <c r="AK396" s="430">
        <v>4</v>
      </c>
    </row>
    <row r="397" spans="1:37" s="408" customFormat="1" x14ac:dyDescent="0.25">
      <c r="A397" s="433"/>
      <c r="B397" s="433" t="s">
        <v>47</v>
      </c>
      <c r="C397" s="438" t="str">
        <f>VLOOKUP(Table2[[#This Row],[Course Title]],'TSD-Data'!$A$1:$E$56,2,FALSE)</f>
        <v>A-493-0030</v>
      </c>
      <c r="D397" s="438" t="str">
        <f>VLOOKUP(Table2[[#This Row],[Course Title]],'TSD-Data'!$A$1:$E$56,3,FALSE)</f>
        <v>286X</v>
      </c>
      <c r="E397" s="433" t="s">
        <v>86</v>
      </c>
      <c r="F397" s="418">
        <v>45852</v>
      </c>
      <c r="G397" s="418">
        <v>45856</v>
      </c>
      <c r="H397" s="417"/>
      <c r="I397" s="417">
        <v>0.33333333333333331</v>
      </c>
      <c r="J397" s="417">
        <v>0.20833333333333334</v>
      </c>
      <c r="K397" s="417">
        <v>0.625</v>
      </c>
      <c r="L397" s="417">
        <v>0.54166666666666663</v>
      </c>
      <c r="M397" s="417">
        <v>8.3333333333333329E-2</v>
      </c>
      <c r="N397" s="417">
        <v>0.875</v>
      </c>
      <c r="O397" s="437" t="s">
        <v>322</v>
      </c>
      <c r="P397" s="437"/>
      <c r="Q397" s="365"/>
      <c r="R397" s="440">
        <f>VLOOKUP(Table2[[#This Row],[Course Title]],'TSD-Data'!$A$1:$E$56,4,FALSE)</f>
        <v>25</v>
      </c>
      <c r="S397" s="439">
        <f>VLOOKUP(Table2[[#This Row],[Course Title]],'TSD-Data'!$A$1:$F$53,6,FALSE)</f>
        <v>40</v>
      </c>
      <c r="T397" s="439">
        <f>VLOOKUP(Table2[[#This Row],[Course Title]],'TSD-Data'!$A$1:$E$56,5,FALSE)</f>
        <v>5</v>
      </c>
      <c r="U397" s="439">
        <v>0</v>
      </c>
      <c r="V397" s="439">
        <f>Table2[[#This Row],[Quotas]]-Table2[[#This Row],[Open Quotas]]</f>
        <v>14</v>
      </c>
      <c r="W397" s="439"/>
      <c r="X397" s="440"/>
      <c r="Y397" s="440"/>
      <c r="Z397" s="439"/>
      <c r="AA397" s="439"/>
      <c r="AB397" s="438"/>
      <c r="AC397" s="439"/>
      <c r="AD397" s="440">
        <f ca="1">Table2[[#This Row],[End Date]]+2-TODAY()</f>
        <v>81</v>
      </c>
      <c r="AE397" s="439">
        <f>IF(ISBLANK(Table2[[#This Row],[Received by]]),1,0)</f>
        <v>1</v>
      </c>
      <c r="AF397" s="439">
        <f ca="1">IF(Table2[[#This Row],[Start Date]]&gt;TODAY(),1,)</f>
        <v>1</v>
      </c>
      <c r="AG397" s="439">
        <f>IF(ISBLANK(Table2[[#This Row],[Primary Instructor]]),0,1)</f>
        <v>1</v>
      </c>
      <c r="AH397" s="439">
        <f>IF(ISBLANK(Table2[[#This Row],[Instructor 2]]),0,1)</f>
        <v>0</v>
      </c>
      <c r="AI397" s="439">
        <f>Table2[[#This Row],[Course Length (Hours)]]/(SUM(Table2[[#This Row],[1]:[2]]))</f>
        <v>40</v>
      </c>
      <c r="AJ397" s="439">
        <v>11</v>
      </c>
      <c r="AK397" s="441">
        <v>4</v>
      </c>
    </row>
    <row r="398" spans="1:37" s="408" customFormat="1" x14ac:dyDescent="0.25">
      <c r="A398" s="429"/>
      <c r="B398" s="433" t="s">
        <v>38</v>
      </c>
      <c r="C398" s="427" t="str">
        <f>VLOOKUP(Table2[[#This Row],[Course Title]],'TSD-Data'!$A$1:$E$56,2,FALSE)</f>
        <v>A-493-0061</v>
      </c>
      <c r="D398" s="427" t="str">
        <f>VLOOKUP(Table2[[#This Row],[Course Title]],'TSD-Data'!$A$1:$E$56,3,FALSE)</f>
        <v>288E</v>
      </c>
      <c r="E398" s="425" t="s">
        <v>86</v>
      </c>
      <c r="F398" s="420">
        <v>45852</v>
      </c>
      <c r="G398" s="420">
        <v>45855</v>
      </c>
      <c r="H398" s="422"/>
      <c r="I398" s="421">
        <v>0.5</v>
      </c>
      <c r="J398" s="421">
        <v>0.375</v>
      </c>
      <c r="K398" s="421">
        <v>0.79166666666666663</v>
      </c>
      <c r="L398" s="421">
        <v>0.75</v>
      </c>
      <c r="M398" s="421">
        <v>0.25</v>
      </c>
      <c r="N398" s="421">
        <v>4.1666666666666664E-2</v>
      </c>
      <c r="O398" s="429" t="s">
        <v>303</v>
      </c>
      <c r="P398" s="429"/>
      <c r="Q398" s="365"/>
      <c r="R398" s="414">
        <f>VLOOKUP(Table2[[#This Row],[Course Title]],'TSD-Data'!$A$1:$E$56,4,FALSE)</f>
        <v>45</v>
      </c>
      <c r="S398" s="414">
        <f>VLOOKUP(Table2[[#This Row],[Course Title]],'TSD-Data'!$A$1:$F$53,6,FALSE)</f>
        <v>30</v>
      </c>
      <c r="T398" s="414">
        <f>VLOOKUP(Table2[[#This Row],[Course Title]],'TSD-Data'!$A$1:$E$56,5,FALSE)</f>
        <v>4</v>
      </c>
      <c r="U398" s="414">
        <v>533</v>
      </c>
      <c r="V398" s="414">
        <f>Table2[[#This Row],[Quotas]]-Table2[[#This Row],[Open Quotas]]</f>
        <v>2</v>
      </c>
      <c r="W398" s="414"/>
      <c r="X398" s="414"/>
      <c r="Y398" s="419"/>
      <c r="Z398" s="414"/>
      <c r="AA398" s="414"/>
      <c r="AB398" s="414"/>
      <c r="AC398" s="414"/>
      <c r="AD398" s="419">
        <f ca="1">Table2[[#This Row],[End Date]]+2-TODAY()</f>
        <v>80</v>
      </c>
      <c r="AE398" s="414">
        <f>IF(ISBLANK(Table2[[#This Row],[Received by]]),1,0)</f>
        <v>1</v>
      </c>
      <c r="AF398" s="414">
        <f ca="1">IF(Table2[[#This Row],[Start Date]]&gt;TODAY(),1,)</f>
        <v>1</v>
      </c>
      <c r="AG398" s="414">
        <f>IF(ISBLANK(Table2[[#This Row],[Primary Instructor]]),0,1)</f>
        <v>1</v>
      </c>
      <c r="AH398" s="414">
        <f>IF(ISBLANK(Table2[[#This Row],[Instructor 2]]),0,1)</f>
        <v>0</v>
      </c>
      <c r="AI398" s="414">
        <f>Table2[[#This Row],[Course Length (Hours)]]/(SUM(Table2[[#This Row],[1]:[2]]))</f>
        <v>30</v>
      </c>
      <c r="AJ398" s="414">
        <v>43</v>
      </c>
      <c r="AK398" s="430">
        <v>4</v>
      </c>
    </row>
    <row r="399" spans="1:37" s="408" customFormat="1" x14ac:dyDescent="0.25">
      <c r="A399" s="437"/>
      <c r="B399" s="433" t="s">
        <v>29</v>
      </c>
      <c r="C399" s="438" t="str">
        <f>VLOOKUP(Table2[[#This Row],[Course Title]],'TSD-Data'!$A$1:$E$56,2,FALSE)</f>
        <v>A-493-0077</v>
      </c>
      <c r="D399" s="438" t="str">
        <f>VLOOKUP(Table2[[#This Row],[Course Title]],'TSD-Data'!$A$1:$E$56,3,FALSE)</f>
        <v>0381</v>
      </c>
      <c r="E399" s="433" t="s">
        <v>205</v>
      </c>
      <c r="F399" s="418">
        <v>45852</v>
      </c>
      <c r="G399" s="418">
        <v>45854</v>
      </c>
      <c r="H399" s="417">
        <v>0.33333333333333331</v>
      </c>
      <c r="I399" s="417"/>
      <c r="J399" s="417"/>
      <c r="K399" s="417"/>
      <c r="L399" s="417"/>
      <c r="M399" s="417"/>
      <c r="N399" s="417"/>
      <c r="O399" s="437" t="s">
        <v>280</v>
      </c>
      <c r="P399" s="437"/>
      <c r="Q399" s="365"/>
      <c r="R399" s="439">
        <f>VLOOKUP(Table2[[#This Row],[Course Title]],'TSD-Data'!$A$1:$E$56,4,FALSE)</f>
        <v>25</v>
      </c>
      <c r="S399" s="439">
        <f>VLOOKUP(Table2[[#This Row],[Course Title]],'TSD-Data'!$A$1:$F$53,6,FALSE)</f>
        <v>24</v>
      </c>
      <c r="T399" s="439">
        <f>VLOOKUP(Table2[[#This Row],[Course Title]],'TSD-Data'!$A$1:$E$56,5,FALSE)</f>
        <v>3</v>
      </c>
      <c r="U399" s="439">
        <v>44</v>
      </c>
      <c r="V399" s="439">
        <f>Table2[[#This Row],[Quotas]]-Table2[[#This Row],[Open Quotas]]</f>
        <v>4</v>
      </c>
      <c r="W399" s="439"/>
      <c r="X399" s="439"/>
      <c r="Y399" s="440"/>
      <c r="Z399" s="439"/>
      <c r="AA399" s="439"/>
      <c r="AB399" s="438"/>
      <c r="AC399" s="439"/>
      <c r="AD399" s="440">
        <f ca="1">Table2[[#This Row],[End Date]]+2-TODAY()</f>
        <v>79</v>
      </c>
      <c r="AE399" s="439">
        <f>IF(ISBLANK(Table2[[#This Row],[Received by]]),1,0)</f>
        <v>1</v>
      </c>
      <c r="AF399" s="439">
        <f ca="1">IF(Table2[[#This Row],[Start Date]]&gt;TODAY(),1,)</f>
        <v>1</v>
      </c>
      <c r="AG399" s="439">
        <f>IF(ISBLANK(Table2[[#This Row],[Primary Instructor]]),0,1)</f>
        <v>1</v>
      </c>
      <c r="AH399" s="439">
        <f>IF(ISBLANK(Table2[[#This Row],[Instructor 2]]),0,1)</f>
        <v>0</v>
      </c>
      <c r="AI399" s="439">
        <f>Table2[[#This Row],[Course Length (Hours)]]/(SUM(Table2[[#This Row],[1]:[2]]))</f>
        <v>24</v>
      </c>
      <c r="AJ399" s="439">
        <v>21</v>
      </c>
      <c r="AK399" s="441">
        <v>4</v>
      </c>
    </row>
    <row r="400" spans="1:37" s="408" customFormat="1" x14ac:dyDescent="0.25">
      <c r="A400" s="437" t="s">
        <v>454</v>
      </c>
      <c r="B400" s="433" t="s">
        <v>59</v>
      </c>
      <c r="C400" s="438" t="str">
        <f>VLOOKUP(Table2[[#This Row],[Course Title]],'TSD-Data'!$A$1:$E$56,2,FALSE)</f>
        <v>A-493-0550</v>
      </c>
      <c r="D400" s="438" t="str">
        <f>VLOOKUP(Table2[[#This Row],[Course Title]],'TSD-Data'!$A$1:$E$56,3,FALSE)</f>
        <v>09K5</v>
      </c>
      <c r="E400" s="433" t="s">
        <v>86</v>
      </c>
      <c r="F400" s="418">
        <v>45852</v>
      </c>
      <c r="G400" s="418">
        <v>45853</v>
      </c>
      <c r="H400" s="418"/>
      <c r="I400" s="417">
        <v>0.33333333333333331</v>
      </c>
      <c r="J400" s="417">
        <v>0.20833333333333334</v>
      </c>
      <c r="K400" s="417">
        <v>0.625</v>
      </c>
      <c r="L400" s="417">
        <v>0.54166666666666663</v>
      </c>
      <c r="M400" s="417">
        <v>8.3333333333333329E-2</v>
      </c>
      <c r="N400" s="417">
        <v>0.875</v>
      </c>
      <c r="O400" s="437" t="s">
        <v>301</v>
      </c>
      <c r="P400" s="437"/>
      <c r="Q400" s="365"/>
      <c r="R400" s="439">
        <f>VLOOKUP(Table2[[#This Row],[Course Title]],'TSD-Data'!$A$1:$E$56,4,FALSE)</f>
        <v>45</v>
      </c>
      <c r="S400" s="439">
        <f>VLOOKUP(Table2[[#This Row],[Course Title]],'TSD-Data'!$A$1:$F$53,6,FALSE)</f>
        <v>32</v>
      </c>
      <c r="T400" s="439">
        <f>VLOOKUP(Table2[[#This Row],[Course Title]],'TSD-Data'!$A$1:$E$56,5,FALSE)</f>
        <v>4</v>
      </c>
      <c r="U400" s="439">
        <v>845</v>
      </c>
      <c r="V400" s="439">
        <f>Table2[[#This Row],[Quotas]]-Table2[[#This Row],[Open Quotas]]</f>
        <v>45</v>
      </c>
      <c r="W400" s="439"/>
      <c r="X400" s="439"/>
      <c r="Y400" s="440"/>
      <c r="Z400" s="439"/>
      <c r="AA400" s="439"/>
      <c r="AB400" s="439"/>
      <c r="AC400" s="439"/>
      <c r="AD400" s="440">
        <f ca="1">Table2[[#This Row],[End Date]]+2-TODAY()</f>
        <v>78</v>
      </c>
      <c r="AE400" s="439">
        <f>IF(ISBLANK(Table2[[#This Row],[Received by]]),1,0)</f>
        <v>1</v>
      </c>
      <c r="AF400" s="439">
        <f ca="1">IF(Table2[[#This Row],[Start Date]]&gt;TODAY(),1,)</f>
        <v>1</v>
      </c>
      <c r="AG400" s="439">
        <f>IF(ISBLANK(Table2[[#This Row],[Primary Instructor]]),0,1)</f>
        <v>1</v>
      </c>
      <c r="AH400" s="439">
        <f>IF(ISBLANK(Table2[[#This Row],[Instructor 2]]),0,1)</f>
        <v>0</v>
      </c>
      <c r="AI400" s="439">
        <f>Table2[[#This Row],[Course Length (Hours)]]/(SUM(Table2[[#This Row],[1]:[2]]))</f>
        <v>32</v>
      </c>
      <c r="AJ400" s="439">
        <v>0</v>
      </c>
      <c r="AK400" s="441">
        <v>4</v>
      </c>
    </row>
    <row r="401" spans="1:37" s="408" customFormat="1" x14ac:dyDescent="0.25">
      <c r="A401" s="438"/>
      <c r="B401" s="433" t="s">
        <v>61</v>
      </c>
      <c r="C401" s="438" t="str">
        <f>VLOOKUP(Table2[[#This Row],[Course Title]],'TSD-Data'!$A$1:$E$56,2,FALSE)</f>
        <v>A-493-0078</v>
      </c>
      <c r="D401" s="438">
        <f>VLOOKUP(Table2[[#This Row],[Course Title]],'TSD-Data'!$A$1:$E$56,3,FALSE)</f>
        <v>1228</v>
      </c>
      <c r="E401" s="433" t="s">
        <v>86</v>
      </c>
      <c r="F401" s="418">
        <v>45852</v>
      </c>
      <c r="G401" s="418">
        <v>45855</v>
      </c>
      <c r="H401" s="432"/>
      <c r="I401" s="432">
        <v>0.33333333333333331</v>
      </c>
      <c r="J401" s="417">
        <v>0.20833333333333334</v>
      </c>
      <c r="K401" s="417">
        <v>0.625</v>
      </c>
      <c r="L401" s="417">
        <v>0.54166666666666663</v>
      </c>
      <c r="M401" s="417">
        <v>8.3333333333333329E-2</v>
      </c>
      <c r="N401" s="417">
        <v>0.875</v>
      </c>
      <c r="O401" s="437" t="s">
        <v>304</v>
      </c>
      <c r="P401" s="437"/>
      <c r="Q401" s="365"/>
      <c r="R401" s="439">
        <f>VLOOKUP(Table2[[#This Row],[Course Title]],'TSD-Data'!$A$1:$E$56,4,FALSE)</f>
        <v>45</v>
      </c>
      <c r="S401" s="439">
        <f>VLOOKUP(Table2[[#This Row],[Course Title]],'TSD-Data'!$A$1:$F$53,6,FALSE)</f>
        <v>32</v>
      </c>
      <c r="T401" s="439">
        <f>VLOOKUP(Table2[[#This Row],[Course Title]],'TSD-Data'!$A$1:$E$56,5,FALSE)</f>
        <v>4</v>
      </c>
      <c r="U401" s="439">
        <v>508</v>
      </c>
      <c r="V401" s="439">
        <f>Table2[[#This Row],[Quotas]]-Table2[[#This Row],[Open Quotas]]</f>
        <v>3</v>
      </c>
      <c r="W401" s="439"/>
      <c r="X401" s="457"/>
      <c r="Y401" s="440"/>
      <c r="Z401" s="439"/>
      <c r="AA401" s="439"/>
      <c r="AB401" s="439"/>
      <c r="AC401" s="439"/>
      <c r="AD401" s="440">
        <f ca="1">Table2[[#This Row],[End Date]]+2-TODAY()</f>
        <v>80</v>
      </c>
      <c r="AE401" s="439">
        <f>IF(ISBLANK(Table2[[#This Row],[Received by]]),1,0)</f>
        <v>1</v>
      </c>
      <c r="AF401" s="439">
        <f ca="1">IF(Table2[[#This Row],[Start Date]]&gt;TODAY(),1,)</f>
        <v>1</v>
      </c>
      <c r="AG401" s="439">
        <f>IF(ISBLANK(Table2[[#This Row],[Primary Instructor]]),0,1)</f>
        <v>1</v>
      </c>
      <c r="AH401" s="439">
        <f>IF(ISBLANK(Table2[[#This Row],[Instructor 2]]),0,1)</f>
        <v>0</v>
      </c>
      <c r="AI401" s="439">
        <f>Table2[[#This Row],[Course Length (Hours)]]/(SUM(Table2[[#This Row],[1]:[2]]))</f>
        <v>32</v>
      </c>
      <c r="AJ401" s="439">
        <v>42</v>
      </c>
      <c r="AK401" s="441">
        <v>4</v>
      </c>
    </row>
    <row r="402" spans="1:37" s="408" customFormat="1" x14ac:dyDescent="0.25">
      <c r="A402" s="437"/>
      <c r="B402" s="433" t="s">
        <v>53</v>
      </c>
      <c r="C402" s="438" t="str">
        <f>VLOOKUP(Table2[[#This Row],[Course Title]],'TSD-Data'!$A$1:$E$56,2,FALSE)</f>
        <v>A-493-0072</v>
      </c>
      <c r="D402" s="438" t="str">
        <f>VLOOKUP(Table2[[#This Row],[Course Title]],'TSD-Data'!$A$1:$E$56,3,FALSE)</f>
        <v>713U</v>
      </c>
      <c r="E402" s="433" t="s">
        <v>192</v>
      </c>
      <c r="F402" s="418">
        <v>45852</v>
      </c>
      <c r="G402" s="418">
        <v>45856</v>
      </c>
      <c r="H402" s="417">
        <v>0.33333333333333331</v>
      </c>
      <c r="I402" s="417"/>
      <c r="J402" s="418"/>
      <c r="K402" s="418"/>
      <c r="L402" s="418"/>
      <c r="M402" s="418"/>
      <c r="N402" s="418"/>
      <c r="O402" s="437" t="s">
        <v>318</v>
      </c>
      <c r="P402" s="437"/>
      <c r="Q402" s="365"/>
      <c r="R402" s="439">
        <f>VLOOKUP(Table2[[#This Row],[Course Title]],'TSD-Data'!$A$1:$E$56,4,FALSE)</f>
        <v>30</v>
      </c>
      <c r="S402" s="439">
        <f>VLOOKUP(Table2[[#This Row],[Course Title]],'TSD-Data'!$A$1:$F$53,6,FALSE)</f>
        <v>40</v>
      </c>
      <c r="T402" s="439">
        <f>VLOOKUP(Table2[[#This Row],[Course Title]],'TSD-Data'!$A$1:$E$56,5,FALSE)</f>
        <v>5</v>
      </c>
      <c r="U402" s="439">
        <v>1</v>
      </c>
      <c r="V402" s="439">
        <f>Table2[[#This Row],[Quotas]]-Table2[[#This Row],[Open Quotas]]</f>
        <v>1</v>
      </c>
      <c r="W402" s="439"/>
      <c r="X402" s="439"/>
      <c r="Y402" s="440"/>
      <c r="Z402" s="439"/>
      <c r="AA402" s="439"/>
      <c r="AB402" s="439"/>
      <c r="AC402" s="439"/>
      <c r="AD402" s="440">
        <f ca="1">Table2[[#This Row],[End Date]]+2-TODAY()</f>
        <v>81</v>
      </c>
      <c r="AE402" s="439">
        <f>IF(ISBLANK(Table2[[#This Row],[Received by]]),1,0)</f>
        <v>1</v>
      </c>
      <c r="AF402" s="439">
        <f ca="1">IF(Table2[[#This Row],[Start Date]]&gt;TODAY(),1,)</f>
        <v>1</v>
      </c>
      <c r="AG402" s="439">
        <f>IF(ISBLANK(Table2[[#This Row],[Primary Instructor]]),0,1)</f>
        <v>1</v>
      </c>
      <c r="AH402" s="439">
        <f>IF(ISBLANK(Table2[[#This Row],[Instructor 2]]),0,1)</f>
        <v>0</v>
      </c>
      <c r="AI402" s="439">
        <f>Table2[[#This Row],[Course Length (Hours)]]/(SUM(Table2[[#This Row],[1]:[2]]))</f>
        <v>40</v>
      </c>
      <c r="AJ402" s="439">
        <v>29</v>
      </c>
      <c r="AK402" s="441">
        <v>4</v>
      </c>
    </row>
    <row r="403" spans="1:37" s="408" customFormat="1" x14ac:dyDescent="0.25">
      <c r="A403" s="438"/>
      <c r="B403" s="433" t="s">
        <v>40</v>
      </c>
      <c r="C403" s="438" t="str">
        <f>VLOOKUP(Table2[[#This Row],[Course Title]],'TSD-Data'!$A$1:$E$56,2,FALSE)</f>
        <v>A-493-2098</v>
      </c>
      <c r="D403" s="438" t="str">
        <f>VLOOKUP(Table2[[#This Row],[Course Title]],'TSD-Data'!$A$1:$E$56,3,FALSE)</f>
        <v>09WW</v>
      </c>
      <c r="E403" s="433" t="s">
        <v>86</v>
      </c>
      <c r="F403" s="418">
        <v>45852</v>
      </c>
      <c r="G403" s="418">
        <v>45854</v>
      </c>
      <c r="H403" s="417"/>
      <c r="I403" s="417">
        <v>0.79166666666666663</v>
      </c>
      <c r="J403" s="443">
        <v>0.66666666666666663</v>
      </c>
      <c r="K403" s="443">
        <v>8.3333333333333329E-2</v>
      </c>
      <c r="L403" s="443">
        <v>0</v>
      </c>
      <c r="M403" s="443">
        <v>0.54166666666666663</v>
      </c>
      <c r="N403" s="443">
        <v>0.33333333333333331</v>
      </c>
      <c r="O403" s="437" t="s">
        <v>282</v>
      </c>
      <c r="P403" s="437"/>
      <c r="Q403" s="365"/>
      <c r="R403" s="439">
        <f>VLOOKUP(Table2[[#This Row],[Course Title]],'TSD-Data'!$A$1:$E$56,4,FALSE)</f>
        <v>100</v>
      </c>
      <c r="S403" s="439">
        <f>VLOOKUP(Table2[[#This Row],[Course Title]],'TSD-Data'!$A$1:$F$53,6,FALSE)</f>
        <v>16</v>
      </c>
      <c r="T403" s="439">
        <f>VLOOKUP(Table2[[#This Row],[Course Title]],'TSD-Data'!$A$1:$E$56,5,FALSE)</f>
        <v>2</v>
      </c>
      <c r="U403" s="439">
        <v>161</v>
      </c>
      <c r="V403" s="439">
        <f>Table2[[#This Row],[Quotas]]-Table2[[#This Row],[Open Quotas]]</f>
        <v>85</v>
      </c>
      <c r="W403" s="439"/>
      <c r="X403" s="444"/>
      <c r="Y403" s="444"/>
      <c r="Z403" s="438"/>
      <c r="AA403" s="438"/>
      <c r="AB403" s="444"/>
      <c r="AC403" s="439"/>
      <c r="AD403" s="440">
        <f ca="1">Table2[[#This Row],[End Date]]+2-TODAY()</f>
        <v>79</v>
      </c>
      <c r="AE403" s="439">
        <f>IF(ISBLANK(Table2[[#This Row],[Received by]]),1,0)</f>
        <v>1</v>
      </c>
      <c r="AF403" s="439">
        <f ca="1">IF(Table2[[#This Row],[Start Date]]&gt;TODAY(),1,)</f>
        <v>1</v>
      </c>
      <c r="AG403" s="439">
        <f>IF(ISBLANK(Table2[[#This Row],[Primary Instructor]]),0,1)</f>
        <v>1</v>
      </c>
      <c r="AH403" s="439">
        <f>IF(ISBLANK(Table2[[#This Row],[Instructor 2]]),0,1)</f>
        <v>0</v>
      </c>
      <c r="AI403" s="439">
        <f>Table2[[#This Row],[Course Length (Hours)]]/(SUM(Table2[[#This Row],[1]:[2]]))</f>
        <v>16</v>
      </c>
      <c r="AJ403" s="439">
        <v>15</v>
      </c>
      <c r="AK403" s="441">
        <v>4</v>
      </c>
    </row>
    <row r="404" spans="1:37" s="408" customFormat="1" x14ac:dyDescent="0.25">
      <c r="A404" s="456"/>
      <c r="B404" s="433" t="s">
        <v>28</v>
      </c>
      <c r="C404" s="427" t="str">
        <f>VLOOKUP(Table2[[#This Row],[Course Title]],'TSD-Data'!$A$1:$E$56,2,FALSE)</f>
        <v>A-493-0013</v>
      </c>
      <c r="D404" s="427">
        <f>VLOOKUP(Table2[[#This Row],[Course Title]],'TSD-Data'!$A$1:$E$56,3,FALSE)</f>
        <v>3683</v>
      </c>
      <c r="E404" s="433" t="s">
        <v>169</v>
      </c>
      <c r="F404" s="418">
        <v>45853</v>
      </c>
      <c r="G404" s="418">
        <v>45855</v>
      </c>
      <c r="H404" s="422">
        <v>0.33333333333333331</v>
      </c>
      <c r="I404" s="422"/>
      <c r="J404" s="420"/>
      <c r="K404" s="420"/>
      <c r="L404" s="420"/>
      <c r="M404" s="420"/>
      <c r="N404" s="420"/>
      <c r="O404" s="429" t="s">
        <v>283</v>
      </c>
      <c r="P404" s="429"/>
      <c r="Q404" s="365"/>
      <c r="R404" s="414">
        <f>VLOOKUP(Table2[[#This Row],[Course Title]],'TSD-Data'!$A$1:$E$56,4,FALSE)</f>
        <v>40</v>
      </c>
      <c r="S404" s="414">
        <f>VLOOKUP(Table2[[#This Row],[Course Title]],'TSD-Data'!$A$1:$F$53,6,FALSE)</f>
        <v>24</v>
      </c>
      <c r="T404" s="414">
        <f>VLOOKUP(Table2[[#This Row],[Course Title]],'TSD-Data'!$A$1:$E$56,5,FALSE)</f>
        <v>3</v>
      </c>
      <c r="U404" s="414">
        <v>30</v>
      </c>
      <c r="V404" s="414">
        <f ca="1">Table2[[#This Row],[Quotas]]-Table2[[#This Row],[Open Quotas]]</f>
        <v>0</v>
      </c>
      <c r="W404" s="414"/>
      <c r="X404" s="419"/>
      <c r="Y404" s="419"/>
      <c r="Z404" s="414"/>
      <c r="AA404" s="414"/>
      <c r="AB404" s="427"/>
      <c r="AC404" s="414"/>
      <c r="AD404" s="419">
        <f ca="1">Table2[[#This Row],[End Date]]+2-TODAY()</f>
        <v>80</v>
      </c>
      <c r="AE404" s="414">
        <f>IF(ISBLANK(Table2[[#This Row],[Received by]]),1,0)</f>
        <v>1</v>
      </c>
      <c r="AF404" s="414">
        <f ca="1">IF(Table2[[#This Row],[Start Date]]&gt;TODAY(),1,)</f>
        <v>1</v>
      </c>
      <c r="AG404" s="414">
        <f>IF(ISBLANK(Table2[[#This Row],[Primary Instructor]]),0,1)</f>
        <v>1</v>
      </c>
      <c r="AH404" s="414">
        <f>IF(ISBLANK(Table2[[#This Row],[Instructor 2]]),0,1)</f>
        <v>0</v>
      </c>
      <c r="AI404" s="414">
        <f>Table2[[#This Row],[Course Length (Hours)]]/(SUM(Table2[[#This Row],[1]:[2]]))</f>
        <v>24</v>
      </c>
      <c r="AJ404" s="414">
        <f ca="1">Table2[[#This Row],[Quotas]]-Table2[[#This Row],[Registered]]</f>
        <v>40</v>
      </c>
      <c r="AK404" s="430">
        <v>4</v>
      </c>
    </row>
    <row r="405" spans="1:37" s="408" customFormat="1" x14ac:dyDescent="0.25">
      <c r="A405" s="437" t="s">
        <v>480</v>
      </c>
      <c r="B405" s="433" t="s">
        <v>28</v>
      </c>
      <c r="C405" s="438" t="str">
        <f>VLOOKUP(Table2[[#This Row],[Course Title]],'TSD-Data'!$A$1:$E$56,2,FALSE)</f>
        <v>A-493-0013</v>
      </c>
      <c r="D405" s="438">
        <f>VLOOKUP(Table2[[#This Row],[Course Title]],'TSD-Data'!$A$1:$E$56,3,FALSE)</f>
        <v>3683</v>
      </c>
      <c r="E405" s="450" t="s">
        <v>193</v>
      </c>
      <c r="F405" s="418">
        <v>45853</v>
      </c>
      <c r="G405" s="418">
        <v>45855</v>
      </c>
      <c r="H405" s="417">
        <v>0.33333333333333331</v>
      </c>
      <c r="I405" s="417"/>
      <c r="J405" s="418"/>
      <c r="K405" s="418"/>
      <c r="L405" s="418"/>
      <c r="M405" s="418"/>
      <c r="N405" s="418"/>
      <c r="O405" s="437" t="s">
        <v>257</v>
      </c>
      <c r="P405" s="437"/>
      <c r="Q405" s="365"/>
      <c r="R405" s="439">
        <f>VLOOKUP(Table2[[#This Row],[Course Title]],'TSD-Data'!$A$1:$E$56,4,FALSE)</f>
        <v>40</v>
      </c>
      <c r="S405" s="439">
        <f>VLOOKUP(Table2[[#This Row],[Course Title]],'TSD-Data'!$A$1:$F$53,6,FALSE)</f>
        <v>24</v>
      </c>
      <c r="T405" s="439">
        <f>VLOOKUP(Table2[[#This Row],[Course Title]],'TSD-Data'!$A$1:$E$56,5,FALSE)</f>
        <v>3</v>
      </c>
      <c r="U405" s="439">
        <v>4</v>
      </c>
      <c r="V405" s="439">
        <f ca="1">Table2[[#This Row],[Quotas]]-Table2[[#This Row],[Open Quotas]]</f>
        <v>0</v>
      </c>
      <c r="W405" s="439"/>
      <c r="X405" s="439"/>
      <c r="Y405" s="440"/>
      <c r="Z405" s="439"/>
      <c r="AA405" s="439"/>
      <c r="AB405" s="438"/>
      <c r="AC405" s="439"/>
      <c r="AD405" s="440">
        <f ca="1">Table2[[#This Row],[End Date]]+2-TODAY()</f>
        <v>80</v>
      </c>
      <c r="AE405" s="439">
        <f>IF(ISBLANK(Table2[[#This Row],[Received by]]),1,0)</f>
        <v>1</v>
      </c>
      <c r="AF405" s="439">
        <f ca="1">IF(Table2[[#This Row],[Start Date]]&gt;TODAY(),1,)</f>
        <v>1</v>
      </c>
      <c r="AG405" s="439">
        <f>IF(ISBLANK(Table2[[#This Row],[Primary Instructor]]),0,1)</f>
        <v>1</v>
      </c>
      <c r="AH405" s="439">
        <f>IF(ISBLANK(Table2[[#This Row],[Instructor 2]]),0,1)</f>
        <v>0</v>
      </c>
      <c r="AI405" s="439">
        <f>Table2[[#This Row],[Course Length (Hours)]]/(SUM(Table2[[#This Row],[1]:[2]]))</f>
        <v>24</v>
      </c>
      <c r="AJ405" s="439">
        <f ca="1">Table2[[#This Row],[Quotas]]-Table2[[#This Row],[Registered]]</f>
        <v>40</v>
      </c>
      <c r="AK405" s="441">
        <v>4</v>
      </c>
    </row>
    <row r="406" spans="1:37" s="408" customFormat="1" x14ac:dyDescent="0.25">
      <c r="A406" s="433"/>
      <c r="B406" s="433" t="s">
        <v>50</v>
      </c>
      <c r="C406" s="438" t="str">
        <f>VLOOKUP(Table2[[#This Row],[Course Title]],'TSD-Data'!$A$1:$E$56,2,FALSE)</f>
        <v>A-493-0331</v>
      </c>
      <c r="D406" s="438" t="str">
        <f>VLOOKUP(Table2[[#This Row],[Course Title]],'TSD-Data'!$A$1:$E$56,3,FALSE)</f>
        <v>10UG</v>
      </c>
      <c r="E406" s="433" t="s">
        <v>86</v>
      </c>
      <c r="F406" s="418">
        <v>45853</v>
      </c>
      <c r="G406" s="418">
        <v>45855</v>
      </c>
      <c r="H406" s="432"/>
      <c r="I406" s="443">
        <v>0.5</v>
      </c>
      <c r="J406" s="443">
        <v>0.375</v>
      </c>
      <c r="K406" s="443">
        <v>0.79166666666666663</v>
      </c>
      <c r="L406" s="443">
        <v>0.75</v>
      </c>
      <c r="M406" s="443">
        <v>0.25</v>
      </c>
      <c r="N406" s="443">
        <v>4.1666666666666664E-2</v>
      </c>
      <c r="O406" s="437" t="s">
        <v>275</v>
      </c>
      <c r="P406" s="437"/>
      <c r="Q406" s="365"/>
      <c r="R406" s="439">
        <f>VLOOKUP(Table2[[#This Row],[Course Title]],'TSD-Data'!$A$1:$E$56,4,FALSE)</f>
        <v>45</v>
      </c>
      <c r="S406" s="439">
        <f>VLOOKUP(Table2[[#This Row],[Course Title]],'TSD-Data'!$A$1:$F$53,6,FALSE)</f>
        <v>24</v>
      </c>
      <c r="T406" s="439">
        <f>VLOOKUP(Table2[[#This Row],[Course Title]],'TSD-Data'!$A$1:$E$56,5,FALSE)</f>
        <v>3</v>
      </c>
      <c r="U406" s="439">
        <v>805</v>
      </c>
      <c r="V406" s="439">
        <f>Table2[[#This Row],[Quotas]]-Table2[[#This Row],[Open Quotas]]</f>
        <v>15</v>
      </c>
      <c r="W406" s="439">
        <v>0</v>
      </c>
      <c r="X406" s="439"/>
      <c r="Y406" s="440"/>
      <c r="Z406" s="439"/>
      <c r="AA406" s="439"/>
      <c r="AB406" s="439"/>
      <c r="AC406" s="439"/>
      <c r="AD406" s="440">
        <f ca="1">Table2[[#This Row],[End Date]]+2-TODAY()</f>
        <v>80</v>
      </c>
      <c r="AE406" s="439">
        <f>IF(ISBLANK(Table2[[#This Row],[Received by]]),1,0)</f>
        <v>1</v>
      </c>
      <c r="AF406" s="439">
        <f ca="1">IF(Table2[[#This Row],[Start Date]]&gt;TODAY(),1,)</f>
        <v>1</v>
      </c>
      <c r="AG406" s="439">
        <f>IF(ISBLANK(Table2[[#This Row],[Primary Instructor]]),0,1)</f>
        <v>1</v>
      </c>
      <c r="AH406" s="439">
        <f>IF(ISBLANK(Table2[[#This Row],[Instructor 2]]),0,1)</f>
        <v>0</v>
      </c>
      <c r="AI406" s="439">
        <f>Table2[[#This Row],[Course Length (Hours)]]/(SUM(Table2[[#This Row],[1]:[2]]))</f>
        <v>24</v>
      </c>
      <c r="AJ406" s="439">
        <v>30</v>
      </c>
      <c r="AK406" s="441">
        <v>4</v>
      </c>
    </row>
    <row r="407" spans="1:37" s="408" customFormat="1" x14ac:dyDescent="0.25">
      <c r="A407" s="462"/>
      <c r="B407" s="426" t="s">
        <v>93</v>
      </c>
      <c r="C407" s="463" t="str">
        <f>VLOOKUP(Table2[[#This Row],[Course Title]],'TSD-Data'!$A$1:$E$56,2,FALSE)</f>
        <v>A-493-0019</v>
      </c>
      <c r="D407" s="463">
        <f>VLOOKUP(Table2[[#This Row],[Course Title]],'TSD-Data'!$A$1:$E$56,3,FALSE)</f>
        <v>3882</v>
      </c>
      <c r="E407" s="426" t="s">
        <v>205</v>
      </c>
      <c r="F407" s="428">
        <v>45855</v>
      </c>
      <c r="G407" s="428">
        <v>45856</v>
      </c>
      <c r="H407" s="464">
        <v>0.33333333333333331</v>
      </c>
      <c r="I407" s="469"/>
      <c r="J407" s="464"/>
      <c r="K407" s="464"/>
      <c r="L407" s="464"/>
      <c r="M407" s="464"/>
      <c r="N407" s="464"/>
      <c r="O407" s="462" t="s">
        <v>316</v>
      </c>
      <c r="P407" s="462" t="s">
        <v>315</v>
      </c>
      <c r="Q407" s="365"/>
      <c r="R407" s="465">
        <f>VLOOKUP(Table2[[#This Row],[Course Title]],'TSD-Data'!$A$1:$E$56,4,FALSE)</f>
        <v>25</v>
      </c>
      <c r="S407" s="465">
        <f>VLOOKUP(Table2[[#This Row],[Course Title]],'TSD-Data'!$A$1:$F$53,6,FALSE)</f>
        <v>16</v>
      </c>
      <c r="T407" s="465">
        <f>VLOOKUP(Table2[[#This Row],[Course Title]],'TSD-Data'!$A$1:$E$56,5,FALSE)</f>
        <v>2</v>
      </c>
      <c r="U407" s="465">
        <v>4</v>
      </c>
      <c r="V407" s="465">
        <f>Table2[[#This Row],[Quotas]]-Table2[[#This Row],[Open Quotas]]</f>
        <v>9</v>
      </c>
      <c r="W407" s="465"/>
      <c r="X407" s="465"/>
      <c r="Y407" s="466"/>
      <c r="Z407" s="465"/>
      <c r="AA407" s="465"/>
      <c r="AB407" s="465"/>
      <c r="AC407" s="465"/>
      <c r="AD407" s="466">
        <f ca="1">Table2[[#This Row],[End Date]]+2-TODAY()</f>
        <v>81</v>
      </c>
      <c r="AE407" s="465">
        <f>IF(ISBLANK(Table2[[#This Row],[Received by]]),1,0)</f>
        <v>1</v>
      </c>
      <c r="AF407" s="465">
        <f ca="1">IF(Table2[[#This Row],[Start Date]]&gt;TODAY(),1,)</f>
        <v>1</v>
      </c>
      <c r="AG407" s="465">
        <f>IF(ISBLANK(Table2[[#This Row],[Primary Instructor]]),0,1)</f>
        <v>1</v>
      </c>
      <c r="AH407" s="465">
        <f>IF(ISBLANK(Table2[[#This Row],[Instructor 2]]),0,1)</f>
        <v>1</v>
      </c>
      <c r="AI407" s="465">
        <f>Table2[[#This Row],[Course Length (Hours)]]/(SUM(Table2[[#This Row],[1]:[2]]))</f>
        <v>8</v>
      </c>
      <c r="AJ407" s="465">
        <v>16</v>
      </c>
      <c r="AK407" s="467">
        <v>4</v>
      </c>
    </row>
    <row r="408" spans="1:37" s="408" customFormat="1" x14ac:dyDescent="0.25">
      <c r="A408" s="462"/>
      <c r="B408" s="426" t="s">
        <v>31</v>
      </c>
      <c r="C408" s="463" t="str">
        <f>VLOOKUP(Table2[[#This Row],[Course Title]],'TSD-Data'!$A$1:$E$56,2,FALSE)</f>
        <v>A-493-0083</v>
      </c>
      <c r="D408" s="463" t="str">
        <f>VLOOKUP(Table2[[#This Row],[Course Title]],'TSD-Data'!$A$1:$E$56,3,FALSE)</f>
        <v>339E</v>
      </c>
      <c r="E408" s="426" t="s">
        <v>205</v>
      </c>
      <c r="F408" s="428">
        <v>45855</v>
      </c>
      <c r="G408" s="428">
        <v>45855</v>
      </c>
      <c r="H408" s="464">
        <v>0.33333333333333331</v>
      </c>
      <c r="I408" s="464"/>
      <c r="J408" s="464"/>
      <c r="K408" s="464"/>
      <c r="L408" s="464"/>
      <c r="M408" s="464"/>
      <c r="N408" s="464"/>
      <c r="O408" s="462" t="s">
        <v>280</v>
      </c>
      <c r="P408" s="462"/>
      <c r="Q408" s="365"/>
      <c r="R408" s="465">
        <f>VLOOKUP(Table2[[#This Row],[Course Title]],'TSD-Data'!$A$1:$E$56,4,FALSE)</f>
        <v>30</v>
      </c>
      <c r="S408" s="465">
        <f>VLOOKUP(Table2[[#This Row],[Course Title]],'TSD-Data'!$A$1:$F$53,6,FALSE)</f>
        <v>8</v>
      </c>
      <c r="T408" s="465">
        <f>VLOOKUP(Table2[[#This Row],[Course Title]],'TSD-Data'!$A$1:$E$56,5,FALSE)</f>
        <v>1</v>
      </c>
      <c r="U408" s="465">
        <v>143</v>
      </c>
      <c r="V408" s="465">
        <f>Table2[[#This Row],[Quotas]]-Table2[[#This Row],[Open Quotas]]</f>
        <v>7</v>
      </c>
      <c r="W408" s="465"/>
      <c r="X408" s="465"/>
      <c r="Y408" s="466"/>
      <c r="Z408" s="465"/>
      <c r="AA408" s="465"/>
      <c r="AB408" s="463"/>
      <c r="AC408" s="465"/>
      <c r="AD408" s="466">
        <f ca="1">Table2[[#This Row],[End Date]]+2-TODAY()</f>
        <v>80</v>
      </c>
      <c r="AE408" s="465">
        <f>IF(ISBLANK(Table2[[#This Row],[Received by]]),1,0)</f>
        <v>1</v>
      </c>
      <c r="AF408" s="465">
        <f ca="1">IF(Table2[[#This Row],[Start Date]]&gt;TODAY(),1,)</f>
        <v>1</v>
      </c>
      <c r="AG408" s="465">
        <f>IF(ISBLANK(Table2[[#This Row],[Primary Instructor]]),0,1)</f>
        <v>1</v>
      </c>
      <c r="AH408" s="465">
        <f>IF(ISBLANK(Table2[[#This Row],[Instructor 2]]),0,1)</f>
        <v>0</v>
      </c>
      <c r="AI408" s="465">
        <f>Table2[[#This Row],[Course Length (Hours)]]/(SUM(Table2[[#This Row],[1]:[2]]))</f>
        <v>8</v>
      </c>
      <c r="AJ408" s="465">
        <v>23</v>
      </c>
      <c r="AK408" s="467">
        <v>4</v>
      </c>
    </row>
    <row r="409" spans="1:37" s="408" customFormat="1" x14ac:dyDescent="0.25">
      <c r="A409" s="463"/>
      <c r="B409" s="426" t="s">
        <v>46</v>
      </c>
      <c r="C409" s="463" t="str">
        <f>VLOOKUP(Table2[[#This Row],[Course Title]],'TSD-Data'!$A$1:$E$56,2,FALSE)</f>
        <v>A-493-0070</v>
      </c>
      <c r="D409" s="463" t="str">
        <f>VLOOKUP(Table2[[#This Row],[Course Title]],'TSD-Data'!$A$1:$E$56,3,FALSE)</f>
        <v>450V</v>
      </c>
      <c r="E409" s="426" t="s">
        <v>205</v>
      </c>
      <c r="F409" s="451">
        <v>45859</v>
      </c>
      <c r="G409" s="451">
        <v>45859</v>
      </c>
      <c r="H409" s="464">
        <v>0.33333333333333331</v>
      </c>
      <c r="I409" s="469"/>
      <c r="J409" s="469"/>
      <c r="K409" s="469"/>
      <c r="L409" s="469"/>
      <c r="M409" s="469"/>
      <c r="N409" s="469"/>
      <c r="O409" s="462" t="s">
        <v>316</v>
      </c>
      <c r="P409" s="462" t="s">
        <v>315</v>
      </c>
      <c r="Q409" s="365"/>
      <c r="R409" s="465">
        <f>VLOOKUP(Table2[[#This Row],[Course Title]],'TSD-Data'!$A$1:$E$56,4,FALSE)</f>
        <v>30</v>
      </c>
      <c r="S409" s="465">
        <f>VLOOKUP(Table2[[#This Row],[Course Title]],'TSD-Data'!$A$1:$F$53,6,FALSE)</f>
        <v>8</v>
      </c>
      <c r="T409" s="465">
        <f>VLOOKUP(Table2[[#This Row],[Course Title]],'TSD-Data'!$A$1:$E$56,5,FALSE)</f>
        <v>1</v>
      </c>
      <c r="U409" s="465">
        <v>26</v>
      </c>
      <c r="V409" s="465">
        <f>Table2[[#This Row],[Quotas]]-Table2[[#This Row],[Open Quotas]]</f>
        <v>0</v>
      </c>
      <c r="W409" s="465"/>
      <c r="X409" s="510"/>
      <c r="Y409" s="466"/>
      <c r="Z409" s="465"/>
      <c r="AA409" s="465"/>
      <c r="AB409" s="465"/>
      <c r="AC409" s="465"/>
      <c r="AD409" s="466">
        <f ca="1">Table2[[#This Row],[End Date]]+2-TODAY()</f>
        <v>84</v>
      </c>
      <c r="AE409" s="465">
        <f>IF(ISBLANK(Table2[[#This Row],[Received by]]),1,0)</f>
        <v>1</v>
      </c>
      <c r="AF409" s="465">
        <f ca="1">IF(Table2[[#This Row],[Start Date]]&gt;TODAY(),1,)</f>
        <v>1</v>
      </c>
      <c r="AG409" s="465">
        <f>IF(ISBLANK(Table2[[#This Row],[Primary Instructor]]),0,1)</f>
        <v>1</v>
      </c>
      <c r="AH409" s="465">
        <f>IF(ISBLANK(Table2[[#This Row],[Instructor 2]]),0,1)</f>
        <v>1</v>
      </c>
      <c r="AI409" s="465">
        <f>Table2[[#This Row],[Course Length (Hours)]]/(SUM(Table2[[#This Row],[1]:[2]]))</f>
        <v>4</v>
      </c>
      <c r="AJ409" s="465">
        <v>30</v>
      </c>
      <c r="AK409" s="467">
        <v>4</v>
      </c>
    </row>
    <row r="410" spans="1:37" s="408" customFormat="1" x14ac:dyDescent="0.25">
      <c r="A410" s="426"/>
      <c r="B410" s="426" t="s">
        <v>48</v>
      </c>
      <c r="C410" s="463" t="str">
        <f>VLOOKUP(Table2[[#This Row],[Course Title]],'TSD-Data'!$A$1:$E$56,2,FALSE)</f>
        <v>A-760-2166</v>
      </c>
      <c r="D410" s="463" t="str">
        <f>VLOOKUP(Table2[[#This Row],[Course Title]],'TSD-Data'!$A$1:$E$56,3,FALSE)</f>
        <v>438J</v>
      </c>
      <c r="E410" s="426" t="s">
        <v>205</v>
      </c>
      <c r="F410" s="428">
        <v>45859</v>
      </c>
      <c r="G410" s="428">
        <v>45860</v>
      </c>
      <c r="H410" s="464">
        <v>0.33333333333333331</v>
      </c>
      <c r="I410" s="468"/>
      <c r="J410" s="428"/>
      <c r="K410" s="428"/>
      <c r="L410" s="428"/>
      <c r="M410" s="428"/>
      <c r="N410" s="428"/>
      <c r="O410" s="462" t="s">
        <v>316</v>
      </c>
      <c r="P410" s="462" t="s">
        <v>315</v>
      </c>
      <c r="Q410" s="365"/>
      <c r="R410" s="466">
        <f>VLOOKUP(Table2[[#This Row],[Course Title]],'TSD-Data'!$A$1:$E$56,4,FALSE)</f>
        <v>25</v>
      </c>
      <c r="S410" s="465">
        <f>VLOOKUP(Table2[[#This Row],[Course Title]],'TSD-Data'!$A$1:$F$53,6,FALSE)</f>
        <v>16</v>
      </c>
      <c r="T410" s="465">
        <f>VLOOKUP(Table2[[#This Row],[Course Title]],'TSD-Data'!$A$1:$E$56,5,FALSE)</f>
        <v>2</v>
      </c>
      <c r="U410" s="465">
        <v>0</v>
      </c>
      <c r="V410" s="465">
        <f ca="1">Table2[[#This Row],[Quotas]]-Table2[[#This Row],[Open Quotas]]</f>
        <v>0</v>
      </c>
      <c r="W410" s="465"/>
      <c r="X410" s="466"/>
      <c r="Y410" s="466"/>
      <c r="Z410" s="465"/>
      <c r="AA410" s="465"/>
      <c r="AB410" s="463"/>
      <c r="AC410" s="465"/>
      <c r="AD410" s="466">
        <f ca="1">Table2[[#This Row],[End Date]]+2-TODAY()</f>
        <v>85</v>
      </c>
      <c r="AE410" s="465">
        <f>IF(ISBLANK(Table2[[#This Row],[Received by]]),1,0)</f>
        <v>1</v>
      </c>
      <c r="AF410" s="465">
        <f ca="1">IF(Table2[[#This Row],[Start Date]]&gt;TODAY(),1,)</f>
        <v>1</v>
      </c>
      <c r="AG410" s="465">
        <f>IF(ISBLANK(Table2[[#This Row],[Primary Instructor]]),0,1)</f>
        <v>1</v>
      </c>
      <c r="AH410" s="465">
        <f>IF(ISBLANK(Table2[[#This Row],[Instructor 2]]),0,1)</f>
        <v>1</v>
      </c>
      <c r="AI410" s="465">
        <f>Table2[[#This Row],[Course Length (Hours)]]/(SUM(Table2[[#This Row],[1]:[2]]))</f>
        <v>8</v>
      </c>
      <c r="AJ410" s="465">
        <f ca="1">Table2[[#This Row],[Quotas]]-Table2[[#This Row],[Registered]]</f>
        <v>25</v>
      </c>
      <c r="AK410" s="467">
        <v>4</v>
      </c>
    </row>
    <row r="411" spans="1:37" s="408" customFormat="1" x14ac:dyDescent="0.25">
      <c r="A411" s="462" t="s">
        <v>466</v>
      </c>
      <c r="B411" s="426" t="s">
        <v>17</v>
      </c>
      <c r="C411" s="463" t="str">
        <f>VLOOKUP(Table2[[#This Row],[Course Title]],'TSD-Data'!$A$1:$E$56,2,FALSE)</f>
        <v>A-493-0012</v>
      </c>
      <c r="D411" s="463">
        <f>VLOOKUP(Table2[[#This Row],[Course Title]],'TSD-Data'!$A$1:$E$56,3,FALSE)</f>
        <v>3682</v>
      </c>
      <c r="E411" s="426" t="s">
        <v>215</v>
      </c>
      <c r="F411" s="428">
        <v>45859</v>
      </c>
      <c r="G411" s="428">
        <v>45863</v>
      </c>
      <c r="H411" s="464">
        <v>0.33333333333333331</v>
      </c>
      <c r="I411" s="464"/>
      <c r="J411" s="428"/>
      <c r="K411" s="428"/>
      <c r="L411" s="428"/>
      <c r="M411" s="428"/>
      <c r="N411" s="428"/>
      <c r="O411" s="462" t="s">
        <v>283</v>
      </c>
      <c r="P411" s="462"/>
      <c r="Q411" s="365"/>
      <c r="R411" s="465">
        <f>VLOOKUP(Table2[[#This Row],[Course Title]],'TSD-Data'!$A$1:$E$56,4,FALSE)</f>
        <v>40</v>
      </c>
      <c r="S411" s="465">
        <f>VLOOKUP(Table2[[#This Row],[Course Title]],'TSD-Data'!$A$1:$F$53,6,FALSE)</f>
        <v>40</v>
      </c>
      <c r="T411" s="465">
        <f>VLOOKUP(Table2[[#This Row],[Course Title]],'TSD-Data'!$A$1:$E$56,5,FALSE)</f>
        <v>5</v>
      </c>
      <c r="U411" s="465">
        <v>0</v>
      </c>
      <c r="V411" s="465">
        <f>Table2[[#This Row],[Quotas]]-Table2[[#This Row],[Open Quotas]]</f>
        <v>13</v>
      </c>
      <c r="W411" s="465"/>
      <c r="X411" s="465"/>
      <c r="Y411" s="466"/>
      <c r="Z411" s="465"/>
      <c r="AA411" s="465"/>
      <c r="AB411" s="463"/>
      <c r="AC411" s="465"/>
      <c r="AD411" s="466">
        <f ca="1">Table2[[#This Row],[End Date]]+2-TODAY()</f>
        <v>88</v>
      </c>
      <c r="AE411" s="465">
        <f>IF(ISBLANK(Table2[[#This Row],[Received by]]),1,0)</f>
        <v>1</v>
      </c>
      <c r="AF411" s="465">
        <f ca="1">IF(Table2[[#This Row],[Start Date]]&gt;TODAY(),1,)</f>
        <v>1</v>
      </c>
      <c r="AG411" s="465">
        <f>IF(ISBLANK(Table2[[#This Row],[Primary Instructor]]),0,1)</f>
        <v>1</v>
      </c>
      <c r="AH411" s="465">
        <f>IF(ISBLANK(Table2[[#This Row],[Instructor 2]]),0,1)</f>
        <v>0</v>
      </c>
      <c r="AI411" s="465">
        <f>Table2[[#This Row],[Course Length (Hours)]]/(SUM(Table2[[#This Row],[1]:[2]]))</f>
        <v>40</v>
      </c>
      <c r="AJ411" s="465">
        <v>27</v>
      </c>
      <c r="AK411" s="467">
        <v>4</v>
      </c>
    </row>
    <row r="412" spans="1:37" s="408" customFormat="1" x14ac:dyDescent="0.25">
      <c r="A412" s="462"/>
      <c r="B412" s="426" t="s">
        <v>29</v>
      </c>
      <c r="C412" s="463" t="str">
        <f>VLOOKUP(Table2[[#This Row],[Course Title]],'TSD-Data'!$A$1:$E$56,2,FALSE)</f>
        <v>A-493-0077</v>
      </c>
      <c r="D412" s="463" t="str">
        <f>VLOOKUP(Table2[[#This Row],[Course Title]],'TSD-Data'!$A$1:$E$56,3,FALSE)</f>
        <v>0381</v>
      </c>
      <c r="E412" s="426" t="s">
        <v>162</v>
      </c>
      <c r="F412" s="428">
        <v>45859</v>
      </c>
      <c r="G412" s="428">
        <v>45861</v>
      </c>
      <c r="H412" s="464">
        <v>0.33333333333333331</v>
      </c>
      <c r="I412" s="464"/>
      <c r="J412" s="464"/>
      <c r="K412" s="464"/>
      <c r="L412" s="464"/>
      <c r="M412" s="464"/>
      <c r="N412" s="464"/>
      <c r="O412" s="462" t="s">
        <v>280</v>
      </c>
      <c r="P412" s="462"/>
      <c r="Q412" s="365"/>
      <c r="R412" s="465">
        <f>VLOOKUP(Table2[[#This Row],[Course Title]],'TSD-Data'!$A$1:$E$56,4,FALSE)</f>
        <v>25</v>
      </c>
      <c r="S412" s="465">
        <f>VLOOKUP(Table2[[#This Row],[Course Title]],'TSD-Data'!$A$1:$F$53,6,FALSE)</f>
        <v>24</v>
      </c>
      <c r="T412" s="465">
        <f>VLOOKUP(Table2[[#This Row],[Course Title]],'TSD-Data'!$A$1:$E$56,5,FALSE)</f>
        <v>3</v>
      </c>
      <c r="U412" s="465">
        <v>22</v>
      </c>
      <c r="V412" s="465">
        <f>Table2[[#This Row],[Quotas]]-Table2[[#This Row],[Open Quotas]]</f>
        <v>6</v>
      </c>
      <c r="W412" s="465"/>
      <c r="X412" s="466"/>
      <c r="Y412" s="466"/>
      <c r="Z412" s="465"/>
      <c r="AA412" s="465"/>
      <c r="AB412" s="463"/>
      <c r="AC412" s="465"/>
      <c r="AD412" s="466">
        <f ca="1">Table2[[#This Row],[End Date]]+2-TODAY()</f>
        <v>86</v>
      </c>
      <c r="AE412" s="465">
        <f>IF(ISBLANK(Table2[[#This Row],[Received by]]),1,0)</f>
        <v>1</v>
      </c>
      <c r="AF412" s="465">
        <f ca="1">IF(Table2[[#This Row],[Start Date]]&gt;TODAY(),1,)</f>
        <v>1</v>
      </c>
      <c r="AG412" s="465">
        <f>IF(ISBLANK(Table2[[#This Row],[Primary Instructor]]),0,1)</f>
        <v>1</v>
      </c>
      <c r="AH412" s="465">
        <f>IF(ISBLANK(Table2[[#This Row],[Instructor 2]]),0,1)</f>
        <v>0</v>
      </c>
      <c r="AI412" s="465">
        <f>Table2[[#This Row],[Course Length (Hours)]]/(SUM(Table2[[#This Row],[1]:[2]]))</f>
        <v>24</v>
      </c>
      <c r="AJ412" s="465">
        <v>19</v>
      </c>
      <c r="AK412" s="467">
        <v>4</v>
      </c>
    </row>
    <row r="413" spans="1:37" s="408" customFormat="1" x14ac:dyDescent="0.25">
      <c r="A413" s="462"/>
      <c r="B413" s="426" t="s">
        <v>51</v>
      </c>
      <c r="C413" s="463" t="str">
        <f>VLOOKUP(Table2[[#This Row],[Course Title]],'TSD-Data'!$A$1:$E$56,2,FALSE)</f>
        <v>A-493-0335</v>
      </c>
      <c r="D413" s="463" t="str">
        <f>VLOOKUP(Table2[[#This Row],[Course Title]],'TSD-Data'!$A$1:$E$56,3,FALSE)</f>
        <v>09ND</v>
      </c>
      <c r="E413" s="426" t="s">
        <v>86</v>
      </c>
      <c r="F413" s="428">
        <v>45859</v>
      </c>
      <c r="G413" s="428">
        <v>45862</v>
      </c>
      <c r="H413" s="428"/>
      <c r="I413" s="469">
        <v>0.5</v>
      </c>
      <c r="J413" s="469">
        <v>0.375</v>
      </c>
      <c r="K413" s="469">
        <v>0.79166666666666663</v>
      </c>
      <c r="L413" s="469">
        <v>0.75</v>
      </c>
      <c r="M413" s="469">
        <v>0.25</v>
      </c>
      <c r="N413" s="469">
        <v>4.1666666666666664E-2</v>
      </c>
      <c r="O413" s="462" t="s">
        <v>274</v>
      </c>
      <c r="P413" s="462"/>
      <c r="Q413" s="365"/>
      <c r="R413" s="465">
        <f>VLOOKUP(Table2[[#This Row],[Course Title]],'TSD-Data'!$A$1:$E$56,4,FALSE)</f>
        <v>45</v>
      </c>
      <c r="S413" s="465">
        <f>VLOOKUP(Table2[[#This Row],[Course Title]],'TSD-Data'!$A$1:$F$53,6,FALSE)</f>
        <v>32</v>
      </c>
      <c r="T413" s="465">
        <f>VLOOKUP(Table2[[#This Row],[Course Title]],'TSD-Data'!$A$1:$E$56,5,FALSE)</f>
        <v>4</v>
      </c>
      <c r="U413" s="465">
        <v>400</v>
      </c>
      <c r="V413" s="465">
        <f>Table2[[#This Row],[Quotas]]-Table2[[#This Row],[Open Quotas]]</f>
        <v>1</v>
      </c>
      <c r="W413" s="465"/>
      <c r="X413" s="465"/>
      <c r="Y413" s="466"/>
      <c r="Z413" s="465"/>
      <c r="AA413" s="465"/>
      <c r="AB413" s="465"/>
      <c r="AC413" s="465"/>
      <c r="AD413" s="466">
        <f ca="1">Table2[[#This Row],[End Date]]+2-TODAY()</f>
        <v>87</v>
      </c>
      <c r="AE413" s="465">
        <f>IF(ISBLANK(Table2[[#This Row],[Received by]]),1,0)</f>
        <v>1</v>
      </c>
      <c r="AF413" s="465">
        <f ca="1">IF(Table2[[#This Row],[Start Date]]&gt;TODAY(),1,)</f>
        <v>1</v>
      </c>
      <c r="AG413" s="465">
        <f>IF(ISBLANK(Table2[[#This Row],[Primary Instructor]]),0,1)</f>
        <v>1</v>
      </c>
      <c r="AH413" s="465">
        <f>IF(ISBLANK(Table2[[#This Row],[Instructor 2]]),0,1)</f>
        <v>0</v>
      </c>
      <c r="AI413" s="465">
        <f>Table2[[#This Row],[Course Length (Hours)]]/(SUM(Table2[[#This Row],[1]:[2]]))</f>
        <v>32</v>
      </c>
      <c r="AJ413" s="465">
        <v>44</v>
      </c>
      <c r="AK413" s="467">
        <v>4</v>
      </c>
    </row>
    <row r="414" spans="1:37" s="408" customFormat="1" x14ac:dyDescent="0.25">
      <c r="A414" s="462"/>
      <c r="B414" s="426" t="s">
        <v>59</v>
      </c>
      <c r="C414" s="463" t="str">
        <f>VLOOKUP(Table2[[#This Row],[Course Title]],'TSD-Data'!$A$1:$E$56,2,FALSE)</f>
        <v>A-493-0550</v>
      </c>
      <c r="D414" s="463" t="str">
        <f>VLOOKUP(Table2[[#This Row],[Course Title]],'TSD-Data'!$A$1:$E$56,3,FALSE)</f>
        <v>09K5</v>
      </c>
      <c r="E414" s="426" t="s">
        <v>86</v>
      </c>
      <c r="F414" s="428">
        <v>45859</v>
      </c>
      <c r="G414" s="428">
        <v>45862</v>
      </c>
      <c r="H414" s="464"/>
      <c r="I414" s="464">
        <v>0.45833333333333331</v>
      </c>
      <c r="J414" s="464">
        <v>0.33333333333333331</v>
      </c>
      <c r="K414" s="464">
        <v>0.75</v>
      </c>
      <c r="L414" s="464">
        <v>0.66666666666666663</v>
      </c>
      <c r="M414" s="464">
        <v>0.20833333333333334</v>
      </c>
      <c r="N414" s="464">
        <v>0</v>
      </c>
      <c r="O414" s="462" t="s">
        <v>301</v>
      </c>
      <c r="P414" s="462"/>
      <c r="Q414" s="365"/>
      <c r="R414" s="466">
        <f>VLOOKUP(Table2[[#This Row],[Course Title]],'TSD-Data'!$A$1:$E$56,4,FALSE)</f>
        <v>45</v>
      </c>
      <c r="S414" s="465">
        <f>VLOOKUP(Table2[[#This Row],[Course Title]],'TSD-Data'!$A$1:$F$53,6,FALSE)</f>
        <v>32</v>
      </c>
      <c r="T414" s="465">
        <f>VLOOKUP(Table2[[#This Row],[Course Title]],'TSD-Data'!$A$1:$E$56,5,FALSE)</f>
        <v>4</v>
      </c>
      <c r="U414" s="465">
        <v>949</v>
      </c>
      <c r="V414" s="465">
        <f>Table2[[#This Row],[Quotas]]-Table2[[#This Row],[Open Quotas]]</f>
        <v>7</v>
      </c>
      <c r="W414" s="465"/>
      <c r="X414" s="466"/>
      <c r="Y414" s="466"/>
      <c r="Z414" s="465"/>
      <c r="AA414" s="465"/>
      <c r="AB414" s="463"/>
      <c r="AC414" s="465"/>
      <c r="AD414" s="466">
        <f ca="1">Table2[[#This Row],[End Date]]+2-TODAY()</f>
        <v>87</v>
      </c>
      <c r="AE414" s="465">
        <f>IF(ISBLANK(Table2[[#This Row],[Received by]]),1,0)</f>
        <v>1</v>
      </c>
      <c r="AF414" s="465">
        <f ca="1">IF(Table2[[#This Row],[Start Date]]&gt;TODAY(),1,)</f>
        <v>1</v>
      </c>
      <c r="AG414" s="465">
        <f>IF(ISBLANK(Table2[[#This Row],[Primary Instructor]]),0,1)</f>
        <v>1</v>
      </c>
      <c r="AH414" s="465">
        <f>IF(ISBLANK(Table2[[#This Row],[Instructor 2]]),0,1)</f>
        <v>0</v>
      </c>
      <c r="AI414" s="465">
        <f>Table2[[#This Row],[Course Length (Hours)]]/(SUM(Table2[[#This Row],[1]:[2]]))</f>
        <v>32</v>
      </c>
      <c r="AJ414" s="465">
        <v>38</v>
      </c>
      <c r="AK414" s="467">
        <v>4</v>
      </c>
    </row>
    <row r="415" spans="1:37" s="408" customFormat="1" ht="18.75" customHeight="1" x14ac:dyDescent="0.25">
      <c r="A415" s="462"/>
      <c r="B415" s="426" t="s">
        <v>60</v>
      </c>
      <c r="C415" s="463" t="str">
        <f>VLOOKUP(Table2[[#This Row],[Course Title]],'TSD-Data'!$A$1:$E$56,2,FALSE)</f>
        <v>A-493-0073</v>
      </c>
      <c r="D415" s="463" t="str">
        <f>VLOOKUP(Table2[[#This Row],[Course Title]],'TSD-Data'!$A$1:$E$56,3,FALSE)</f>
        <v>714S</v>
      </c>
      <c r="E415" s="426" t="s">
        <v>86</v>
      </c>
      <c r="F415" s="451">
        <v>45859</v>
      </c>
      <c r="G415" s="451">
        <v>45862</v>
      </c>
      <c r="H415" s="468"/>
      <c r="I415" s="469">
        <v>0.58333333333333337</v>
      </c>
      <c r="J415" s="469">
        <v>0.45833333333333331</v>
      </c>
      <c r="K415" s="469">
        <v>0.875</v>
      </c>
      <c r="L415" s="469">
        <v>0.79166666666666663</v>
      </c>
      <c r="M415" s="469">
        <v>0.33333333333333331</v>
      </c>
      <c r="N415" s="469">
        <v>0.125</v>
      </c>
      <c r="O415" s="462" t="s">
        <v>314</v>
      </c>
      <c r="P415" s="462"/>
      <c r="Q415" s="365"/>
      <c r="R415" s="465">
        <f>VLOOKUP(Table2[[#This Row],[Course Title]],'TSD-Data'!$A$1:$E$56,4,FALSE)</f>
        <v>30</v>
      </c>
      <c r="S415" s="465">
        <f>VLOOKUP(Table2[[#This Row],[Course Title]],'TSD-Data'!$A$1:$F$53,6,FALSE)</f>
        <v>32</v>
      </c>
      <c r="T415" s="465">
        <f>VLOOKUP(Table2[[#This Row],[Course Title]],'TSD-Data'!$A$1:$E$56,5,FALSE)</f>
        <v>4</v>
      </c>
      <c r="U415" s="465">
        <v>194</v>
      </c>
      <c r="V415" s="465">
        <f>Table2[[#This Row],[Quotas]]-Table2[[#This Row],[Open Quotas]]</f>
        <v>2</v>
      </c>
      <c r="W415" s="465"/>
      <c r="X415" s="465"/>
      <c r="Y415" s="466"/>
      <c r="Z415" s="465"/>
      <c r="AA415" s="465"/>
      <c r="AB415" s="465"/>
      <c r="AC415" s="465"/>
      <c r="AD415" s="466">
        <f ca="1">Table2[[#This Row],[End Date]]+2-TODAY()</f>
        <v>87</v>
      </c>
      <c r="AE415" s="465">
        <f>IF(ISBLANK(Table2[[#This Row],[Received by]]),1,0)</f>
        <v>1</v>
      </c>
      <c r="AF415" s="465">
        <f ca="1">IF(Table2[[#This Row],[Start Date]]&gt;TODAY(),1,)</f>
        <v>1</v>
      </c>
      <c r="AG415" s="465">
        <f>IF(ISBLANK(Table2[[#This Row],[Primary Instructor]]),0,1)</f>
        <v>1</v>
      </c>
      <c r="AH415" s="465">
        <f>IF(ISBLANK(Table2[[#This Row],[Instructor 2]]),0,1)</f>
        <v>0</v>
      </c>
      <c r="AI415" s="465">
        <f>Table2[[#This Row],[Course Length (Hours)]]/(SUM(Table2[[#This Row],[1]:[2]]))</f>
        <v>32</v>
      </c>
      <c r="AJ415" s="465">
        <v>28</v>
      </c>
      <c r="AK415" s="467">
        <v>4</v>
      </c>
    </row>
    <row r="416" spans="1:37" s="408" customFormat="1" x14ac:dyDescent="0.25">
      <c r="A416" s="426"/>
      <c r="B416" s="426" t="s">
        <v>15</v>
      </c>
      <c r="C416" s="463" t="str">
        <f>VLOOKUP(Table2[[#This Row],[Course Title]],'TSD-Data'!$A$1:$E$56,2,FALSE)</f>
        <v>A-4J-0022</v>
      </c>
      <c r="D416" s="463" t="str">
        <f>VLOOKUP(Table2[[#This Row],[Course Title]],'TSD-Data'!$A$1:$E$56,3,FALSE)</f>
        <v>09ER</v>
      </c>
      <c r="E416" s="426" t="s">
        <v>86</v>
      </c>
      <c r="F416" s="428">
        <v>45860</v>
      </c>
      <c r="G416" s="428">
        <v>45861</v>
      </c>
      <c r="H416" s="464"/>
      <c r="I416" s="469">
        <v>0.5</v>
      </c>
      <c r="J416" s="469">
        <v>0.375</v>
      </c>
      <c r="K416" s="469">
        <v>0.79166666666666663</v>
      </c>
      <c r="L416" s="469">
        <v>0.75</v>
      </c>
      <c r="M416" s="469">
        <v>0.25</v>
      </c>
      <c r="N416" s="469">
        <v>4.1666666666666664E-2</v>
      </c>
      <c r="O416" s="462" t="s">
        <v>278</v>
      </c>
      <c r="P416" s="462"/>
      <c r="Q416" s="365"/>
      <c r="R416" s="465">
        <f>VLOOKUP(Table2[[#This Row],[Course Title]],'TSD-Data'!$A$1:$E$56,4,FALSE)</f>
        <v>45</v>
      </c>
      <c r="S416" s="465">
        <f>VLOOKUP(Table2[[#This Row],[Course Title]],'TSD-Data'!$A$1:$F$53,6,FALSE)</f>
        <v>16</v>
      </c>
      <c r="T416" s="465">
        <f>VLOOKUP(Table2[[#This Row],[Course Title]],'TSD-Data'!$A$1:$E$56,5,FALSE)</f>
        <v>2</v>
      </c>
      <c r="U416" s="465">
        <v>277</v>
      </c>
      <c r="V416" s="465">
        <f>Table2[[#This Row],[Quotas]]-Table2[[#This Row],[Open Quotas]]</f>
        <v>2</v>
      </c>
      <c r="W416" s="465"/>
      <c r="X416" s="465"/>
      <c r="Y416" s="466"/>
      <c r="Z416" s="465"/>
      <c r="AA416" s="465"/>
      <c r="AB416" s="463"/>
      <c r="AC416" s="465"/>
      <c r="AD416" s="466">
        <f ca="1">Table2[[#This Row],[End Date]]+2-TODAY()</f>
        <v>86</v>
      </c>
      <c r="AE416" s="465">
        <f>IF(ISBLANK(Table2[[#This Row],[Received by]]),1,0)</f>
        <v>1</v>
      </c>
      <c r="AF416" s="465">
        <f ca="1">IF(Table2[[#This Row],[Start Date]]&gt;TODAY(),1,)</f>
        <v>1</v>
      </c>
      <c r="AG416" s="465">
        <f>IF(ISBLANK(Table2[[#This Row],[Primary Instructor]]),0,1)</f>
        <v>1</v>
      </c>
      <c r="AH416" s="465">
        <f>IF(ISBLANK(Table2[[#This Row],[Instructor 2]]),0,1)</f>
        <v>0</v>
      </c>
      <c r="AI416" s="465">
        <f>Table2[[#This Row],[Course Length (Hours)]]/(SUM(Table2[[#This Row],[1]:[2]]))</f>
        <v>16</v>
      </c>
      <c r="AJ416" s="465">
        <v>43</v>
      </c>
      <c r="AK416" s="467">
        <v>4</v>
      </c>
    </row>
    <row r="417" spans="1:37" s="408" customFormat="1" x14ac:dyDescent="0.25">
      <c r="A417" s="462"/>
      <c r="B417" s="426" t="s">
        <v>42</v>
      </c>
      <c r="C417" s="463" t="str">
        <f>VLOOKUP(Table2[[#This Row],[Course Title]],'TSD-Data'!$A$1:$E$56,2,FALSE)</f>
        <v>A-493-0015</v>
      </c>
      <c r="D417" s="463">
        <f>VLOOKUP(Table2[[#This Row],[Course Title]],'TSD-Data'!$A$1:$E$56,3,FALSE)</f>
        <v>3879</v>
      </c>
      <c r="E417" s="448" t="s">
        <v>205</v>
      </c>
      <c r="F417" s="428">
        <v>45860</v>
      </c>
      <c r="G417" s="428">
        <v>45860</v>
      </c>
      <c r="H417" s="464">
        <v>0.33333333333333331</v>
      </c>
      <c r="I417" s="468"/>
      <c r="J417" s="428"/>
      <c r="K417" s="428"/>
      <c r="L417" s="428"/>
      <c r="M417" s="428"/>
      <c r="N417" s="428"/>
      <c r="O417" s="462" t="s">
        <v>316</v>
      </c>
      <c r="P417" s="462" t="s">
        <v>315</v>
      </c>
      <c r="Q417" s="365"/>
      <c r="R417" s="465">
        <f>VLOOKUP(Table2[[#This Row],[Course Title]],'TSD-Data'!$A$1:$E$56,4,FALSE)</f>
        <v>30</v>
      </c>
      <c r="S417" s="465">
        <f>VLOOKUP(Table2[[#This Row],[Course Title]],'TSD-Data'!$A$1:$F$53,6,FALSE)</f>
        <v>4</v>
      </c>
      <c r="T417" s="465">
        <f>VLOOKUP(Table2[[#This Row],[Course Title]],'TSD-Data'!$A$1:$E$56,5,FALSE)</f>
        <v>0.5</v>
      </c>
      <c r="U417" s="465">
        <v>53</v>
      </c>
      <c r="V417" s="465">
        <f>Table2[[#This Row],[Quotas]]-Table2[[#This Row],[Open Quotas]]</f>
        <v>10</v>
      </c>
      <c r="W417" s="465"/>
      <c r="X417" s="465"/>
      <c r="Y417" s="466"/>
      <c r="Z417" s="465"/>
      <c r="AA417" s="465"/>
      <c r="AB417" s="465"/>
      <c r="AC417" s="465"/>
      <c r="AD417" s="466">
        <f ca="1">Table2[[#This Row],[End Date]]+2-TODAY()</f>
        <v>85</v>
      </c>
      <c r="AE417" s="465">
        <f>IF(ISBLANK(Table2[[#This Row],[Received by]]),1,0)</f>
        <v>1</v>
      </c>
      <c r="AF417" s="465">
        <f ca="1">IF(Table2[[#This Row],[Start Date]]&gt;TODAY(),1,)</f>
        <v>1</v>
      </c>
      <c r="AG417" s="465">
        <f>IF(ISBLANK(Table2[[#This Row],[Primary Instructor]]),0,1)</f>
        <v>1</v>
      </c>
      <c r="AH417" s="465">
        <f>IF(ISBLANK(Table2[[#This Row],[Instructor 2]]),0,1)</f>
        <v>1</v>
      </c>
      <c r="AI417" s="465">
        <f>Table2[[#This Row],[Course Length (Hours)]]/(SUM(Table2[[#This Row],[1]:[2]]))</f>
        <v>2</v>
      </c>
      <c r="AJ417" s="465">
        <v>20</v>
      </c>
      <c r="AK417" s="467">
        <v>4</v>
      </c>
    </row>
    <row r="418" spans="1:37" s="408" customFormat="1" x14ac:dyDescent="0.25">
      <c r="A418" s="462"/>
      <c r="B418" s="426" t="s">
        <v>44</v>
      </c>
      <c r="C418" s="463" t="str">
        <f>VLOOKUP(Table2[[#This Row],[Course Title]],'TSD-Data'!$A$1:$E$56,2,FALSE)</f>
        <v>A-493-0020</v>
      </c>
      <c r="D418" s="463">
        <f>VLOOKUP(Table2[[#This Row],[Course Title]],'TSD-Data'!$A$1:$E$56,3,FALSE)</f>
        <v>3888</v>
      </c>
      <c r="E418" s="426" t="s">
        <v>205</v>
      </c>
      <c r="F418" s="428">
        <v>45860</v>
      </c>
      <c r="G418" s="428">
        <v>45860</v>
      </c>
      <c r="H418" s="464">
        <v>1200.5</v>
      </c>
      <c r="I418" s="469"/>
      <c r="J418" s="464"/>
      <c r="K418" s="464"/>
      <c r="L418" s="464"/>
      <c r="M418" s="464"/>
      <c r="N418" s="464"/>
      <c r="O418" s="462" t="s">
        <v>316</v>
      </c>
      <c r="P418" s="462" t="s">
        <v>315</v>
      </c>
      <c r="Q418" s="365"/>
      <c r="R418" s="465">
        <f>VLOOKUP(Table2[[#This Row],[Course Title]],'TSD-Data'!$A$1:$E$56,4,FALSE)</f>
        <v>30</v>
      </c>
      <c r="S418" s="465">
        <f>VLOOKUP(Table2[[#This Row],[Course Title]],'TSD-Data'!$A$1:$F$53,6,FALSE)</f>
        <v>4</v>
      </c>
      <c r="T418" s="465">
        <f>VLOOKUP(Table2[[#This Row],[Course Title]],'TSD-Data'!$A$1:$E$56,5,FALSE)</f>
        <v>0.5</v>
      </c>
      <c r="U418" s="465">
        <v>26</v>
      </c>
      <c r="V418" s="465">
        <f>Table2[[#This Row],[Quotas]]-Table2[[#This Row],[Open Quotas]]</f>
        <v>18</v>
      </c>
      <c r="W418" s="465"/>
      <c r="X418" s="465"/>
      <c r="Y418" s="466"/>
      <c r="Z418" s="465"/>
      <c r="AA418" s="465"/>
      <c r="AB418" s="466"/>
      <c r="AC418" s="465"/>
      <c r="AD418" s="466">
        <f ca="1">Table2[[#This Row],[End Date]]+2-TODAY()</f>
        <v>85</v>
      </c>
      <c r="AE418" s="465">
        <f>IF(ISBLANK(Table2[[#This Row],[Received by]]),1,0)</f>
        <v>1</v>
      </c>
      <c r="AF418" s="465">
        <f ca="1">IF(Table2[[#This Row],[Start Date]]&gt;TODAY(),1,)</f>
        <v>1</v>
      </c>
      <c r="AG418" s="465">
        <f>IF(ISBLANK(Table2[[#This Row],[Primary Instructor]]),0,1)</f>
        <v>1</v>
      </c>
      <c r="AH418" s="465">
        <f>IF(ISBLANK(Table2[[#This Row],[Instructor 2]]),0,1)</f>
        <v>1</v>
      </c>
      <c r="AI418" s="465">
        <f>Table2[[#This Row],[Course Length (Hours)]]/(SUM(Table2[[#This Row],[1]:[2]]))</f>
        <v>2</v>
      </c>
      <c r="AJ418" s="465">
        <v>12</v>
      </c>
      <c r="AK418" s="467">
        <v>4</v>
      </c>
    </row>
    <row r="419" spans="1:37" s="373" customFormat="1" x14ac:dyDescent="0.25">
      <c r="A419" s="462"/>
      <c r="B419" s="426" t="s">
        <v>28</v>
      </c>
      <c r="C419" s="463" t="str">
        <f>VLOOKUP(Table2[[#This Row],[Course Title]],'TSD-Data'!$A$1:$E$56,2,FALSE)</f>
        <v>A-493-0013</v>
      </c>
      <c r="D419" s="463">
        <f>VLOOKUP(Table2[[#This Row],[Course Title]],'TSD-Data'!$A$1:$E$56,3,FALSE)</f>
        <v>3683</v>
      </c>
      <c r="E419" s="426" t="s">
        <v>198</v>
      </c>
      <c r="F419" s="492">
        <v>45860</v>
      </c>
      <c r="G419" s="492">
        <v>45862</v>
      </c>
      <c r="H419" s="464">
        <v>0.33333333333333331</v>
      </c>
      <c r="I419" s="469"/>
      <c r="J419" s="469"/>
      <c r="K419" s="469"/>
      <c r="L419" s="469"/>
      <c r="M419" s="469"/>
      <c r="N419" s="469"/>
      <c r="O419" s="462" t="s">
        <v>257</v>
      </c>
      <c r="P419" s="462"/>
      <c r="Q419" s="365"/>
      <c r="R419" s="465">
        <f>VLOOKUP(Table2[[#This Row],[Course Title]],'TSD-Data'!$A$1:$E$56,4,FALSE)</f>
        <v>40</v>
      </c>
      <c r="S419" s="465">
        <f>VLOOKUP(Table2[[#This Row],[Course Title]],'TSD-Data'!$A$1:$F$53,6,FALSE)</f>
        <v>24</v>
      </c>
      <c r="T419" s="465">
        <f>VLOOKUP(Table2[[#This Row],[Course Title]],'TSD-Data'!$A$1:$E$56,5,FALSE)</f>
        <v>3</v>
      </c>
      <c r="U419" s="465">
        <v>43</v>
      </c>
      <c r="V419" s="465">
        <f ca="1">Table2[[#This Row],[Quotas]]-Table2[[#This Row],[Open Quotas]]</f>
        <v>0</v>
      </c>
      <c r="W419" s="465"/>
      <c r="X419" s="465"/>
      <c r="Y419" s="466"/>
      <c r="Z419" s="465"/>
      <c r="AA419" s="465"/>
      <c r="AB419" s="463"/>
      <c r="AC419" s="465"/>
      <c r="AD419" s="466">
        <f ca="1">Table2[[#This Row],[End Date]]+2-TODAY()</f>
        <v>87</v>
      </c>
      <c r="AE419" s="465">
        <f>IF(ISBLANK(Table2[[#This Row],[Received by]]),1,0)</f>
        <v>1</v>
      </c>
      <c r="AF419" s="465">
        <f ca="1">IF(Table2[[#This Row],[Start Date]]&gt;TODAY(),1,)</f>
        <v>1</v>
      </c>
      <c r="AG419" s="465">
        <f>IF(ISBLANK(Table2[[#This Row],[Primary Instructor]]),0,1)</f>
        <v>1</v>
      </c>
      <c r="AH419" s="465">
        <f>IF(ISBLANK(Table2[[#This Row],[Instructor 2]]),0,1)</f>
        <v>0</v>
      </c>
      <c r="AI419" s="465">
        <f>Table2[[#This Row],[Course Length (Hours)]]/(SUM(Table2[[#This Row],[1]:[2]]))</f>
        <v>24</v>
      </c>
      <c r="AJ419" s="465">
        <f ca="1">Table2[[#This Row],[Quotas]]-Table2[[#This Row],[Registered]]</f>
        <v>40</v>
      </c>
      <c r="AK419" s="467">
        <v>4</v>
      </c>
    </row>
    <row r="420" spans="1:37" s="408" customFormat="1" x14ac:dyDescent="0.25">
      <c r="A420" s="462"/>
      <c r="B420" s="426" t="s">
        <v>57</v>
      </c>
      <c r="C420" s="463" t="str">
        <f>VLOOKUP(Table2[[#This Row],[Course Title]],'TSD-Data'!$A$1:$E$56,2,FALSE)</f>
        <v>A-493-0099</v>
      </c>
      <c r="D420" s="463" t="str">
        <f>VLOOKUP(Table2[[#This Row],[Course Title]],'TSD-Data'!$A$1:$E$56,3,FALSE)</f>
        <v>12JW</v>
      </c>
      <c r="E420" s="426" t="s">
        <v>86</v>
      </c>
      <c r="F420" s="428">
        <v>45860</v>
      </c>
      <c r="G420" s="428">
        <v>45862</v>
      </c>
      <c r="H420" s="464"/>
      <c r="I420" s="469">
        <v>0.5</v>
      </c>
      <c r="J420" s="469">
        <v>0.375</v>
      </c>
      <c r="K420" s="469">
        <v>0.79166666666666663</v>
      </c>
      <c r="L420" s="469">
        <v>0.75</v>
      </c>
      <c r="M420" s="469">
        <v>0.25</v>
      </c>
      <c r="N420" s="469">
        <v>4.1666666666666664E-2</v>
      </c>
      <c r="O420" s="462" t="s">
        <v>305</v>
      </c>
      <c r="P420" s="462"/>
      <c r="Q420" s="365"/>
      <c r="R420" s="466">
        <f>VLOOKUP(Table2[[#This Row],[Course Title]],'TSD-Data'!$A$1:$E$56,4,FALSE)</f>
        <v>45</v>
      </c>
      <c r="S420" s="465">
        <f>VLOOKUP(Table2[[#This Row],[Course Title]],'TSD-Data'!$A$1:$F$53,6,FALSE)</f>
        <v>24</v>
      </c>
      <c r="T420" s="465">
        <f>VLOOKUP(Table2[[#This Row],[Course Title]],'TSD-Data'!$A$1:$E$56,5,FALSE)</f>
        <v>3</v>
      </c>
      <c r="U420" s="465">
        <v>718</v>
      </c>
      <c r="V420" s="465">
        <f ca="1">Table2[[#This Row],[Quotas]]-Table2[[#This Row],[Open Quotas]]</f>
        <v>0</v>
      </c>
      <c r="W420" s="465"/>
      <c r="X420" s="466"/>
      <c r="Y420" s="466"/>
      <c r="Z420" s="465"/>
      <c r="AA420" s="465"/>
      <c r="AB420" s="466"/>
      <c r="AC420" s="465"/>
      <c r="AD420" s="466">
        <f ca="1">Table2[[#This Row],[End Date]]+2-TODAY()</f>
        <v>87</v>
      </c>
      <c r="AE420" s="465">
        <f>IF(ISBLANK(Table2[[#This Row],[Received by]]),1,0)</f>
        <v>1</v>
      </c>
      <c r="AF420" s="465">
        <f ca="1">IF(Table2[[#This Row],[Start Date]]&gt;TODAY(),1,)</f>
        <v>1</v>
      </c>
      <c r="AG420" s="465">
        <f>IF(ISBLANK(Table2[[#This Row],[Primary Instructor]]),0,1)</f>
        <v>1</v>
      </c>
      <c r="AH420" s="465">
        <f>IF(ISBLANK(Table2[[#This Row],[Instructor 2]]),0,1)</f>
        <v>0</v>
      </c>
      <c r="AI420" s="465">
        <f>Table2[[#This Row],[Course Length (Hours)]]/(SUM(Table2[[#This Row],[1]:[2]]))</f>
        <v>24</v>
      </c>
      <c r="AJ420" s="465">
        <f ca="1">Table2[[#This Row],[Quotas]]-Table2[[#This Row],[Registered]]</f>
        <v>45</v>
      </c>
      <c r="AK420" s="467">
        <v>4</v>
      </c>
    </row>
    <row r="421" spans="1:37" s="408" customFormat="1" x14ac:dyDescent="0.25">
      <c r="A421" s="462"/>
      <c r="B421" s="426" t="s">
        <v>49</v>
      </c>
      <c r="C421" s="463" t="str">
        <f>VLOOKUP(Table2[[#This Row],[Course Title]],'TSD-Data'!$A$1:$E$56,2,FALSE)</f>
        <v>A-493-0092</v>
      </c>
      <c r="D421" s="463">
        <f>VLOOKUP(Table2[[#This Row],[Course Title]],'TSD-Data'!$A$1:$E$56,3,FALSE)</f>
        <v>5891</v>
      </c>
      <c r="E421" s="426" t="s">
        <v>205</v>
      </c>
      <c r="F421" s="428">
        <v>45861</v>
      </c>
      <c r="G421" s="428">
        <v>45863</v>
      </c>
      <c r="H421" s="464">
        <v>0.33333333333333331</v>
      </c>
      <c r="I421" s="469"/>
      <c r="J421" s="469"/>
      <c r="K421" s="469"/>
      <c r="L421" s="469"/>
      <c r="M421" s="469"/>
      <c r="N421" s="469"/>
      <c r="O421" s="462" t="s">
        <v>316</v>
      </c>
      <c r="P421" s="462" t="s">
        <v>315</v>
      </c>
      <c r="Q421" s="365"/>
      <c r="R421" s="465">
        <f>VLOOKUP(Table2[[#This Row],[Course Title]],'TSD-Data'!$A$1:$E$56,4,FALSE)</f>
        <v>25</v>
      </c>
      <c r="S421" s="465">
        <f>VLOOKUP(Table2[[#This Row],[Course Title]],'TSD-Data'!$A$1:$F$53,6,FALSE)</f>
        <v>24</v>
      </c>
      <c r="T421" s="465">
        <f>VLOOKUP(Table2[[#This Row],[Course Title]],'TSD-Data'!$A$1:$E$56,5,FALSE)</f>
        <v>3</v>
      </c>
      <c r="U421" s="465">
        <v>42</v>
      </c>
      <c r="V421" s="465">
        <f>Table2[[#This Row],[Quotas]]-Table2[[#This Row],[Open Quotas]]</f>
        <v>3</v>
      </c>
      <c r="W421" s="465"/>
      <c r="X421" s="465"/>
      <c r="Y421" s="466"/>
      <c r="Z421" s="465"/>
      <c r="AA421" s="465"/>
      <c r="AB421" s="465"/>
      <c r="AC421" s="465"/>
      <c r="AD421" s="466">
        <f ca="1">Table2[[#This Row],[End Date]]+2-TODAY()</f>
        <v>88</v>
      </c>
      <c r="AE421" s="465">
        <f>IF(ISBLANK(Table2[[#This Row],[Received by]]),1,0)</f>
        <v>1</v>
      </c>
      <c r="AF421" s="465">
        <f ca="1">IF(Table2[[#This Row],[Start Date]]&gt;TODAY(),1,)</f>
        <v>1</v>
      </c>
      <c r="AG421" s="465">
        <f>IF(ISBLANK(Table2[[#This Row],[Primary Instructor]]),0,1)</f>
        <v>1</v>
      </c>
      <c r="AH421" s="465">
        <f>IF(ISBLANK(Table2[[#This Row],[Instructor 2]]),0,1)</f>
        <v>1</v>
      </c>
      <c r="AI421" s="465">
        <f>Table2[[#This Row],[Course Length (Hours)]]/(SUM(Table2[[#This Row],[1]:[2]]))</f>
        <v>12</v>
      </c>
      <c r="AJ421" s="465">
        <v>22</v>
      </c>
      <c r="AK421" s="467">
        <v>4</v>
      </c>
    </row>
    <row r="422" spans="1:37" s="408" customFormat="1" x14ac:dyDescent="0.25">
      <c r="A422" s="462"/>
      <c r="B422" s="426" t="s">
        <v>31</v>
      </c>
      <c r="C422" s="463" t="str">
        <f>VLOOKUP(Table2[[#This Row],[Course Title]],'TSD-Data'!$A$1:$E$56,2,FALSE)</f>
        <v>A-493-0083</v>
      </c>
      <c r="D422" s="463" t="str">
        <f>VLOOKUP(Table2[[#This Row],[Course Title]],'TSD-Data'!$A$1:$E$56,3,FALSE)</f>
        <v>339E</v>
      </c>
      <c r="E422" s="448" t="s">
        <v>162</v>
      </c>
      <c r="F422" s="428">
        <v>45862</v>
      </c>
      <c r="G422" s="428">
        <v>45862</v>
      </c>
      <c r="H422" s="464">
        <v>0.33333333333333331</v>
      </c>
      <c r="I422" s="464"/>
      <c r="J422" s="464"/>
      <c r="K422" s="464"/>
      <c r="L422" s="464"/>
      <c r="M422" s="464"/>
      <c r="N422" s="464"/>
      <c r="O422" s="462" t="s">
        <v>280</v>
      </c>
      <c r="P422" s="462"/>
      <c r="Q422" s="365"/>
      <c r="R422" s="465">
        <f>VLOOKUP(Table2[[#This Row],[Course Title]],'TSD-Data'!$A$1:$E$56,4,FALSE)</f>
        <v>30</v>
      </c>
      <c r="S422" s="465">
        <f>VLOOKUP(Table2[[#This Row],[Course Title]],'TSD-Data'!$A$1:$F$53,6,FALSE)</f>
        <v>8</v>
      </c>
      <c r="T422" s="465">
        <f>VLOOKUP(Table2[[#This Row],[Course Title]],'TSD-Data'!$A$1:$E$56,5,FALSE)</f>
        <v>1</v>
      </c>
      <c r="U422" s="465">
        <v>84</v>
      </c>
      <c r="V422" s="465">
        <f>Table2[[#This Row],[Quotas]]-Table2[[#This Row],[Open Quotas]]</f>
        <v>17</v>
      </c>
      <c r="W422" s="465"/>
      <c r="X422" s="465"/>
      <c r="Y422" s="466"/>
      <c r="Z422" s="465"/>
      <c r="AA422" s="465"/>
      <c r="AB422" s="463"/>
      <c r="AC422" s="465"/>
      <c r="AD422" s="466">
        <f ca="1">Table2[[#This Row],[End Date]]+2-TODAY()</f>
        <v>87</v>
      </c>
      <c r="AE422" s="465">
        <f>IF(ISBLANK(Table2[[#This Row],[Received by]]),1,0)</f>
        <v>1</v>
      </c>
      <c r="AF422" s="465">
        <f ca="1">IF(Table2[[#This Row],[Start Date]]&gt;TODAY(),1,)</f>
        <v>1</v>
      </c>
      <c r="AG422" s="465">
        <f>IF(ISBLANK(Table2[[#This Row],[Primary Instructor]]),0,1)</f>
        <v>1</v>
      </c>
      <c r="AH422" s="465">
        <f>IF(ISBLANK(Table2[[#This Row],[Instructor 2]]),0,1)</f>
        <v>0</v>
      </c>
      <c r="AI422" s="465">
        <f>Table2[[#This Row],[Course Length (Hours)]]/(SUM(Table2[[#This Row],[1]:[2]]))</f>
        <v>8</v>
      </c>
      <c r="AJ422" s="465">
        <v>13</v>
      </c>
      <c r="AK422" s="467">
        <v>4</v>
      </c>
    </row>
    <row r="423" spans="1:37" s="408" customFormat="1" x14ac:dyDescent="0.25">
      <c r="A423" s="462"/>
      <c r="B423" s="426" t="s">
        <v>55</v>
      </c>
      <c r="C423" s="463" t="str">
        <f>VLOOKUP(Table2[[#This Row],[Course Title]],'TSD-Data'!$A$1:$E$56,2,FALSE)</f>
        <v>A-493-0103</v>
      </c>
      <c r="D423" s="463" t="str">
        <f>VLOOKUP(Table2[[#This Row],[Course Title]],'TSD-Data'!$A$1:$E$56,3,FALSE)</f>
        <v>12JY</v>
      </c>
      <c r="E423" s="426" t="s">
        <v>198</v>
      </c>
      <c r="F423" s="428">
        <v>45866</v>
      </c>
      <c r="G423" s="428">
        <v>45870</v>
      </c>
      <c r="H423" s="464">
        <v>0.33333333333333331</v>
      </c>
      <c r="I423" s="469"/>
      <c r="J423" s="469"/>
      <c r="K423" s="469"/>
      <c r="L423" s="469"/>
      <c r="M423" s="469"/>
      <c r="N423" s="469"/>
      <c r="O423" s="462" t="s">
        <v>314</v>
      </c>
      <c r="P423" s="462"/>
      <c r="Q423" s="365"/>
      <c r="R423" s="465">
        <f>VLOOKUP(Table2[[#This Row],[Course Title]],'TSD-Data'!$A$1:$E$56,4,FALSE)</f>
        <v>25</v>
      </c>
      <c r="S423" s="465">
        <f>VLOOKUP(Table2[[#This Row],[Course Title]],'TSD-Data'!$A$1:$F$53,6,FALSE)</f>
        <v>40</v>
      </c>
      <c r="T423" s="465">
        <f>VLOOKUP(Table2[[#This Row],[Course Title]],'TSD-Data'!$A$1:$E$56,5,FALSE)</f>
        <v>5</v>
      </c>
      <c r="U423" s="465">
        <v>332</v>
      </c>
      <c r="V423" s="465">
        <f>Table2[[#This Row],[Quotas]]-Table2[[#This Row],[Open Quotas]]</f>
        <v>24</v>
      </c>
      <c r="W423" s="465"/>
      <c r="X423" s="465"/>
      <c r="Y423" s="466"/>
      <c r="Z423" s="465"/>
      <c r="AA423" s="465"/>
      <c r="AB423" s="465"/>
      <c r="AC423" s="465"/>
      <c r="AD423" s="466">
        <f ca="1">Table2[[#This Row],[End Date]]+2-TODAY()</f>
        <v>95</v>
      </c>
      <c r="AE423" s="465">
        <f>IF(ISBLANK(Table2[[#This Row],[Received by]]),1,0)</f>
        <v>1</v>
      </c>
      <c r="AF423" s="465">
        <f ca="1">IF(Table2[[#This Row],[Start Date]]&gt;TODAY(),1,)</f>
        <v>1</v>
      </c>
      <c r="AG423" s="465">
        <f>IF(ISBLANK(Table2[[#This Row],[Primary Instructor]]),0,1)</f>
        <v>1</v>
      </c>
      <c r="AH423" s="465">
        <f>IF(ISBLANK(Table2[[#This Row],[Instructor 2]]),0,1)</f>
        <v>0</v>
      </c>
      <c r="AI423" s="465">
        <f>Table2[[#This Row],[Course Length (Hours)]]/(SUM(Table2[[#This Row],[1]:[2]]))</f>
        <v>40</v>
      </c>
      <c r="AJ423" s="465">
        <v>1</v>
      </c>
      <c r="AK423" s="467">
        <v>4</v>
      </c>
    </row>
    <row r="424" spans="1:37" s="408" customFormat="1" x14ac:dyDescent="0.25">
      <c r="A424" s="462"/>
      <c r="B424" s="426" t="s">
        <v>55</v>
      </c>
      <c r="C424" s="463" t="str">
        <f>VLOOKUP(Table2[[#This Row],[Course Title]],'TSD-Data'!$A$1:$E$56,2,FALSE)</f>
        <v>A-493-0103</v>
      </c>
      <c r="D424" s="463" t="str">
        <f>VLOOKUP(Table2[[#This Row],[Course Title]],'TSD-Data'!$A$1:$E$56,3,FALSE)</f>
        <v>12JY</v>
      </c>
      <c r="E424" s="426" t="s">
        <v>170</v>
      </c>
      <c r="F424" s="428">
        <v>45866</v>
      </c>
      <c r="G424" s="428">
        <v>45870</v>
      </c>
      <c r="H424" s="464">
        <v>0.33333333333333331</v>
      </c>
      <c r="I424" s="464"/>
      <c r="J424" s="428"/>
      <c r="K424" s="428"/>
      <c r="L424" s="428"/>
      <c r="M424" s="428"/>
      <c r="N424" s="428"/>
      <c r="O424" s="462" t="s">
        <v>314</v>
      </c>
      <c r="P424" s="462"/>
      <c r="Q424" s="365"/>
      <c r="R424" s="465">
        <f>VLOOKUP(Table2[[#This Row],[Course Title]],'TSD-Data'!$A$1:$E$56,4,FALSE)</f>
        <v>25</v>
      </c>
      <c r="S424" s="465">
        <f>VLOOKUP(Table2[[#This Row],[Course Title]],'TSD-Data'!$A$1:$F$53,6,FALSE)</f>
        <v>40</v>
      </c>
      <c r="T424" s="465">
        <f>VLOOKUP(Table2[[#This Row],[Course Title]],'TSD-Data'!$A$1:$E$56,5,FALSE)</f>
        <v>5</v>
      </c>
      <c r="U424" s="465">
        <v>125</v>
      </c>
      <c r="V424" s="465">
        <f>Table2[[#This Row],[Quotas]]-Table2[[#This Row],[Open Quotas]]</f>
        <v>6</v>
      </c>
      <c r="W424" s="465"/>
      <c r="X424" s="466"/>
      <c r="Y424" s="466"/>
      <c r="Z424" s="465"/>
      <c r="AA424" s="465"/>
      <c r="AB424" s="465"/>
      <c r="AC424" s="465"/>
      <c r="AD424" s="466">
        <f ca="1">Table2[[#This Row],[End Date]]+2-TODAY()</f>
        <v>95</v>
      </c>
      <c r="AE424" s="465">
        <f>IF(ISBLANK(Table2[[#This Row],[Received by]]),1,0)</f>
        <v>1</v>
      </c>
      <c r="AF424" s="465">
        <f ca="1">IF(Table2[[#This Row],[Start Date]]&gt;TODAY(),1,)</f>
        <v>1</v>
      </c>
      <c r="AG424" s="465">
        <f>IF(ISBLANK(Table2[[#This Row],[Primary Instructor]]),0,1)</f>
        <v>1</v>
      </c>
      <c r="AH424" s="465">
        <f>IF(ISBLANK(Table2[[#This Row],[Instructor 2]]),0,1)</f>
        <v>0</v>
      </c>
      <c r="AI424" s="465">
        <f>Table2[[#This Row],[Course Length (Hours)]]/(SUM(Table2[[#This Row],[1]:[2]]))</f>
        <v>40</v>
      </c>
      <c r="AJ424" s="465">
        <v>19</v>
      </c>
      <c r="AK424" s="467">
        <v>4</v>
      </c>
    </row>
    <row r="425" spans="1:37" s="408" customFormat="1" x14ac:dyDescent="0.25">
      <c r="A425" s="462"/>
      <c r="B425" s="426" t="s">
        <v>120</v>
      </c>
      <c r="C425" s="463" t="str">
        <f>VLOOKUP(Table2[[#This Row],[Course Title]],'TSD-Data'!$A$1:$E$56,2,FALSE)</f>
        <v>A-322-2604</v>
      </c>
      <c r="D425" s="463" t="str">
        <f>VLOOKUP(Table2[[#This Row],[Course Title]],'TSD-Data'!$A$1:$E$56,3,FALSE)</f>
        <v>10ZZ</v>
      </c>
      <c r="E425" s="426" t="s">
        <v>86</v>
      </c>
      <c r="F425" s="428">
        <v>45866</v>
      </c>
      <c r="G425" s="428">
        <v>45868</v>
      </c>
      <c r="H425" s="464"/>
      <c r="I425" s="469">
        <v>0.5</v>
      </c>
      <c r="J425" s="469">
        <v>0.375</v>
      </c>
      <c r="K425" s="469">
        <v>0.79166666666666663</v>
      </c>
      <c r="L425" s="469">
        <v>0.75</v>
      </c>
      <c r="M425" s="469">
        <v>0.25</v>
      </c>
      <c r="N425" s="469">
        <v>4.1666666666666664E-2</v>
      </c>
      <c r="O425" s="501" t="s">
        <v>288</v>
      </c>
      <c r="P425" s="462"/>
      <c r="Q425" s="365"/>
      <c r="R425" s="465">
        <f>VLOOKUP(Table2[[#This Row],[Course Title]],'TSD-Data'!$A$1:$E$56,4,FALSE)</f>
        <v>45</v>
      </c>
      <c r="S425" s="465">
        <f>VLOOKUP(Table2[[#This Row],[Course Title]],'TSD-Data'!$A$1:$F$53,6,FALSE)</f>
        <v>24</v>
      </c>
      <c r="T425" s="465">
        <f>VLOOKUP(Table2[[#This Row],[Course Title]],'TSD-Data'!$A$1:$E$56,5,FALSE)</f>
        <v>3</v>
      </c>
      <c r="U425" s="465">
        <v>634</v>
      </c>
      <c r="V425" s="465">
        <f>Table2[[#This Row],[Quotas]]-Table2[[#This Row],[Open Quotas]]</f>
        <v>3</v>
      </c>
      <c r="W425" s="465"/>
      <c r="X425" s="465"/>
      <c r="Y425" s="466"/>
      <c r="Z425" s="465"/>
      <c r="AA425" s="465"/>
      <c r="AB425" s="463"/>
      <c r="AC425" s="465"/>
      <c r="AD425" s="466">
        <f ca="1">Table2[[#This Row],[End Date]]+2-TODAY()</f>
        <v>93</v>
      </c>
      <c r="AE425" s="465">
        <f>IF(ISBLANK(Table2[[#This Row],[Received by]]),1,0)</f>
        <v>1</v>
      </c>
      <c r="AF425" s="465">
        <f ca="1">IF(Table2[[#This Row],[Start Date]]&gt;TODAY(),1,)</f>
        <v>1</v>
      </c>
      <c r="AG425" s="465">
        <f>IF(ISBLANK(Table2[[#This Row],[Primary Instructor]]),0,1)</f>
        <v>1</v>
      </c>
      <c r="AH425" s="465">
        <f>IF(ISBLANK(Table2[[#This Row],[Instructor 2]]),0,1)</f>
        <v>0</v>
      </c>
      <c r="AI425" s="465">
        <f>Table2[[#This Row],[Course Length (Hours)]]/(SUM(Table2[[#This Row],[1]:[2]]))</f>
        <v>24</v>
      </c>
      <c r="AJ425" s="465">
        <v>42</v>
      </c>
      <c r="AK425" s="467">
        <v>4</v>
      </c>
    </row>
    <row r="426" spans="1:37" s="408" customFormat="1" x14ac:dyDescent="0.25">
      <c r="A426" s="462"/>
      <c r="B426" s="426" t="s">
        <v>61</v>
      </c>
      <c r="C426" s="463" t="str">
        <f>VLOOKUP(Table2[[#This Row],[Course Title]],'TSD-Data'!$A$1:$E$56,2,FALSE)</f>
        <v>A-493-0078</v>
      </c>
      <c r="D426" s="463">
        <f>VLOOKUP(Table2[[#This Row],[Course Title]],'TSD-Data'!$A$1:$E$56,3,FALSE)</f>
        <v>1228</v>
      </c>
      <c r="E426" s="426" t="s">
        <v>86</v>
      </c>
      <c r="F426" s="428">
        <v>45866</v>
      </c>
      <c r="G426" s="428">
        <v>45869</v>
      </c>
      <c r="H426" s="468"/>
      <c r="I426" s="464">
        <v>0.45833333333333331</v>
      </c>
      <c r="J426" s="464">
        <v>0.33333333333333331</v>
      </c>
      <c r="K426" s="464">
        <v>0.75</v>
      </c>
      <c r="L426" s="464">
        <v>0.66666666666666663</v>
      </c>
      <c r="M426" s="464">
        <v>0.20833333333333334</v>
      </c>
      <c r="N426" s="464">
        <v>0</v>
      </c>
      <c r="O426" s="462" t="s">
        <v>304</v>
      </c>
      <c r="P426" s="462"/>
      <c r="Q426" s="365"/>
      <c r="R426" s="465">
        <f>VLOOKUP(Table2[[#This Row],[Course Title]],'TSD-Data'!$A$1:$E$56,4,FALSE)</f>
        <v>45</v>
      </c>
      <c r="S426" s="465">
        <f>VLOOKUP(Table2[[#This Row],[Course Title]],'TSD-Data'!$A$1:$F$53,6,FALSE)</f>
        <v>32</v>
      </c>
      <c r="T426" s="465">
        <f>VLOOKUP(Table2[[#This Row],[Course Title]],'TSD-Data'!$A$1:$E$56,5,FALSE)</f>
        <v>4</v>
      </c>
      <c r="U426" s="465">
        <v>840</v>
      </c>
      <c r="V426" s="465">
        <f>Table2[[#This Row],[Quotas]]-Table2[[#This Row],[Open Quotas]]</f>
        <v>4</v>
      </c>
      <c r="W426" s="465"/>
      <c r="X426" s="465"/>
      <c r="Y426" s="466"/>
      <c r="Z426" s="465"/>
      <c r="AA426" s="465"/>
      <c r="AB426" s="465"/>
      <c r="AC426" s="465"/>
      <c r="AD426" s="466">
        <f ca="1">Table2[[#This Row],[End Date]]+2-TODAY()</f>
        <v>94</v>
      </c>
      <c r="AE426" s="465">
        <f>IF(ISBLANK(Table2[[#This Row],[Received by]]),1,0)</f>
        <v>1</v>
      </c>
      <c r="AF426" s="465">
        <f ca="1">IF(Table2[[#This Row],[Start Date]]&gt;TODAY(),1,)</f>
        <v>1</v>
      </c>
      <c r="AG426" s="465">
        <f>IF(ISBLANK(Table2[[#This Row],[Primary Instructor]]),0,1)</f>
        <v>1</v>
      </c>
      <c r="AH426" s="465">
        <f>IF(ISBLANK(Table2[[#This Row],[Instructor 2]]),0,1)</f>
        <v>0</v>
      </c>
      <c r="AI426" s="465">
        <f>Table2[[#This Row],[Course Length (Hours)]]/(SUM(Table2[[#This Row],[1]:[2]]))</f>
        <v>32</v>
      </c>
      <c r="AJ426" s="465">
        <v>41</v>
      </c>
      <c r="AK426" s="467">
        <v>4</v>
      </c>
    </row>
    <row r="427" spans="1:37" s="408" customFormat="1" x14ac:dyDescent="0.25">
      <c r="A427" s="462"/>
      <c r="B427" s="426" t="s">
        <v>52</v>
      </c>
      <c r="C427" s="463" t="str">
        <f>VLOOKUP(Table2[[#This Row],[Course Title]],'TSD-Data'!$A$1:$E$56,2,FALSE)</f>
        <v>A-493-0085</v>
      </c>
      <c r="D427" s="463">
        <f>VLOOKUP(Table2[[#This Row],[Course Title]],'TSD-Data'!$A$1:$E$56,3,FALSE)</f>
        <v>3555</v>
      </c>
      <c r="E427" s="426" t="s">
        <v>86</v>
      </c>
      <c r="F427" s="428">
        <v>45866</v>
      </c>
      <c r="G427" s="428">
        <v>45869</v>
      </c>
      <c r="H427" s="428"/>
      <c r="I427" s="469">
        <v>0.33333333333333331</v>
      </c>
      <c r="J427" s="464">
        <v>0.20833333333333334</v>
      </c>
      <c r="K427" s="464">
        <v>0.625</v>
      </c>
      <c r="L427" s="464">
        <v>0.54166666666666663</v>
      </c>
      <c r="M427" s="464">
        <v>8.3333333333333329E-2</v>
      </c>
      <c r="N427" s="464">
        <v>0.875</v>
      </c>
      <c r="O427" s="462" t="s">
        <v>316</v>
      </c>
      <c r="P427" s="462"/>
      <c r="Q427" s="365"/>
      <c r="R427" s="465">
        <f>VLOOKUP(Table2[[#This Row],[Course Title]],'TSD-Data'!$A$1:$E$56,4,FALSE)</f>
        <v>45</v>
      </c>
      <c r="S427" s="465">
        <f>VLOOKUP(Table2[[#This Row],[Course Title]],'TSD-Data'!$A$1:$F$53,6,FALSE)</f>
        <v>32</v>
      </c>
      <c r="T427" s="465">
        <f>VLOOKUP(Table2[[#This Row],[Course Title]],'TSD-Data'!$A$1:$E$56,5,FALSE)</f>
        <v>4</v>
      </c>
      <c r="U427" s="465">
        <v>309</v>
      </c>
      <c r="V427" s="465">
        <f>Table2[[#This Row],[Quotas]]-Table2[[#This Row],[Open Quotas]]</f>
        <v>9</v>
      </c>
      <c r="W427" s="465"/>
      <c r="X427" s="465"/>
      <c r="Y427" s="466"/>
      <c r="Z427" s="465"/>
      <c r="AA427" s="465"/>
      <c r="AB427" s="465"/>
      <c r="AC427" s="465"/>
      <c r="AD427" s="466">
        <f ca="1">Table2[[#This Row],[End Date]]+2-TODAY()</f>
        <v>94</v>
      </c>
      <c r="AE427" s="465">
        <f>IF(ISBLANK(Table2[[#This Row],[Received by]]),1,0)</f>
        <v>1</v>
      </c>
      <c r="AF427" s="465">
        <f ca="1">IF(Table2[[#This Row],[Start Date]]&gt;TODAY(),1,)</f>
        <v>1</v>
      </c>
      <c r="AG427" s="465">
        <f>IF(ISBLANK(Table2[[#This Row],[Primary Instructor]]),0,1)</f>
        <v>1</v>
      </c>
      <c r="AH427" s="465">
        <f>IF(ISBLANK(Table2[[#This Row],[Instructor 2]]),0,1)</f>
        <v>0</v>
      </c>
      <c r="AI427" s="465">
        <f>Table2[[#This Row],[Course Length (Hours)]]/(SUM(Table2[[#This Row],[1]:[2]]))</f>
        <v>32</v>
      </c>
      <c r="AJ427" s="465">
        <v>36</v>
      </c>
      <c r="AK427" s="467">
        <v>4</v>
      </c>
    </row>
    <row r="428" spans="1:37" s="408" customFormat="1" x14ac:dyDescent="0.25">
      <c r="A428" s="463"/>
      <c r="B428" s="426" t="s">
        <v>39</v>
      </c>
      <c r="C428" s="463" t="str">
        <f>VLOOKUP(Table2[[#This Row],[Course Title]],'TSD-Data'!$A$1:$E$56,2,FALSE)</f>
        <v>A-570-0100</v>
      </c>
      <c r="D428" s="463" t="str">
        <f>VLOOKUP(Table2[[#This Row],[Course Title]],'TSD-Data'!$A$1:$E$56,3,FALSE)</f>
        <v>18B7</v>
      </c>
      <c r="E428" s="426" t="s">
        <v>86</v>
      </c>
      <c r="F428" s="428">
        <v>45866</v>
      </c>
      <c r="G428" s="428">
        <v>45867</v>
      </c>
      <c r="H428" s="464"/>
      <c r="I428" s="464">
        <v>0.79166666666666663</v>
      </c>
      <c r="J428" s="469">
        <v>0.66666666666666663</v>
      </c>
      <c r="K428" s="469">
        <v>8.3333333333333329E-2</v>
      </c>
      <c r="L428" s="469">
        <v>0</v>
      </c>
      <c r="M428" s="469">
        <v>0.54166666666666663</v>
      </c>
      <c r="N428" s="469">
        <v>0.33333333333333331</v>
      </c>
      <c r="O428" s="462" t="s">
        <v>288</v>
      </c>
      <c r="P428" s="462"/>
      <c r="Q428" s="365"/>
      <c r="R428" s="465">
        <f>VLOOKUP(Table2[[#This Row],[Course Title]],'TSD-Data'!$A$1:$E$56,4,FALSE)</f>
        <v>45</v>
      </c>
      <c r="S428" s="465">
        <f>VLOOKUP(Table2[[#This Row],[Course Title]],'TSD-Data'!$A$1:$F$53,6,FALSE)</f>
        <v>16</v>
      </c>
      <c r="T428" s="465">
        <f>VLOOKUP(Table2[[#This Row],[Course Title]],'TSD-Data'!$A$1:$E$56,5,FALSE)</f>
        <v>2</v>
      </c>
      <c r="U428" s="465">
        <v>132</v>
      </c>
      <c r="V428" s="465">
        <f>Table2[[#This Row],[Quotas]]-Table2[[#This Row],[Open Quotas]]</f>
        <v>1</v>
      </c>
      <c r="W428" s="465"/>
      <c r="X428" s="470"/>
      <c r="Y428" s="470"/>
      <c r="Z428" s="463"/>
      <c r="AA428" s="463"/>
      <c r="AB428" s="470"/>
      <c r="AC428" s="465"/>
      <c r="AD428" s="466">
        <f ca="1">Table2[[#This Row],[End Date]]+2-TODAY()</f>
        <v>92</v>
      </c>
      <c r="AE428" s="465">
        <f>IF(ISBLANK(Table2[[#This Row],[Received by]]),1,0)</f>
        <v>1</v>
      </c>
      <c r="AF428" s="465">
        <f ca="1">IF(Table2[[#This Row],[Start Date]]&gt;TODAY(),1,)</f>
        <v>1</v>
      </c>
      <c r="AG428" s="465">
        <f>IF(ISBLANK(Table2[[#This Row],[Primary Instructor]]),0,1)</f>
        <v>1</v>
      </c>
      <c r="AH428" s="465">
        <f>IF(ISBLANK(Table2[[#This Row],[Instructor 2]]),0,1)</f>
        <v>0</v>
      </c>
      <c r="AI428" s="465">
        <f>Table2[[#This Row],[Course Length (Hours)]]/(SUM(Table2[[#This Row],[1]:[2]]))</f>
        <v>16</v>
      </c>
      <c r="AJ428" s="465">
        <v>44</v>
      </c>
      <c r="AK428" s="467">
        <v>4</v>
      </c>
    </row>
    <row r="429" spans="1:37" s="408" customFormat="1" x14ac:dyDescent="0.25">
      <c r="A429" s="462" t="s">
        <v>542</v>
      </c>
      <c r="B429" s="426" t="s">
        <v>36</v>
      </c>
      <c r="C429" s="463" t="str">
        <f>VLOOKUP(Table2[[#This Row],[Course Title]],'TSD-Data'!$A$1:$E$56,2,FALSE)</f>
        <v>A-493-2017</v>
      </c>
      <c r="D429" s="463" t="str">
        <f>VLOOKUP(Table2[[#This Row],[Course Title]],'TSD-Data'!$A$1:$E$56,3,FALSE)</f>
        <v>12x3</v>
      </c>
      <c r="E429" s="426" t="s">
        <v>167</v>
      </c>
      <c r="F429" s="428">
        <v>45866</v>
      </c>
      <c r="G429" s="428">
        <v>45870</v>
      </c>
      <c r="H429" s="464">
        <v>0.33333333333333331</v>
      </c>
      <c r="I429" s="464"/>
      <c r="J429" s="428"/>
      <c r="K429" s="428"/>
      <c r="L429" s="428"/>
      <c r="M429" s="428"/>
      <c r="N429" s="428"/>
      <c r="O429" s="462" t="s">
        <v>280</v>
      </c>
      <c r="P429" s="462"/>
      <c r="Q429" s="365"/>
      <c r="R429" s="466">
        <f>VLOOKUP(Table2[[#This Row],[Course Title]],'TSD-Data'!$A$1:$E$56,4,FALSE)</f>
        <v>25</v>
      </c>
      <c r="S429" s="465">
        <f>VLOOKUP(Table2[[#This Row],[Course Title]],'TSD-Data'!$A$1:$F$53,6,FALSE)</f>
        <v>40</v>
      </c>
      <c r="T429" s="470">
        <f>VLOOKUP(Table2[[#This Row],[Course Title]],'TSD-Data'!$A$1:$E$56,5,FALSE)</f>
        <v>5</v>
      </c>
      <c r="U429" s="470">
        <v>1</v>
      </c>
      <c r="V429" s="470">
        <f>Table2[[#This Row],[Quotas]]-Table2[[#This Row],[Open Quotas]]</f>
        <v>4</v>
      </c>
      <c r="W429" s="470"/>
      <c r="X429" s="466"/>
      <c r="Y429" s="466"/>
      <c r="Z429" s="465"/>
      <c r="AA429" s="465"/>
      <c r="AB429" s="510"/>
      <c r="AC429" s="465"/>
      <c r="AD429" s="466">
        <f ca="1">Table2[[#This Row],[End Date]]+2-TODAY()</f>
        <v>95</v>
      </c>
      <c r="AE429" s="465">
        <f>IF(ISBLANK(Table2[[#This Row],[Received by]]),1,0)</f>
        <v>1</v>
      </c>
      <c r="AF429" s="465">
        <f ca="1">IF(Table2[[#This Row],[Start Date]]&gt;TODAY(),1,)</f>
        <v>1</v>
      </c>
      <c r="AG429" s="465">
        <f>IF(ISBLANK(Table2[[#This Row],[Primary Instructor]]),0,1)</f>
        <v>1</v>
      </c>
      <c r="AH429" s="465">
        <f>IF(ISBLANK(Table2[[#This Row],[Instructor 2]]),0,1)</f>
        <v>0</v>
      </c>
      <c r="AI429" s="465">
        <f>Table2[[#This Row],[Course Length (Hours)]]/(SUM(Table2[[#This Row],[1]:[2]]))</f>
        <v>40</v>
      </c>
      <c r="AJ429" s="465">
        <v>21</v>
      </c>
      <c r="AK429" s="467">
        <v>4</v>
      </c>
    </row>
    <row r="430" spans="1:37" s="408" customFormat="1" x14ac:dyDescent="0.25">
      <c r="A430" s="426"/>
      <c r="B430" s="426" t="s">
        <v>47</v>
      </c>
      <c r="C430" s="463" t="str">
        <f>VLOOKUP(Table2[[#This Row],[Course Title]],'TSD-Data'!$A$1:$E$56,2,FALSE)</f>
        <v>A-493-0030</v>
      </c>
      <c r="D430" s="463" t="str">
        <f>VLOOKUP(Table2[[#This Row],[Course Title]],'TSD-Data'!$A$1:$E$56,3,FALSE)</f>
        <v>286X</v>
      </c>
      <c r="E430" s="426" t="s">
        <v>86</v>
      </c>
      <c r="F430" s="428">
        <v>45873</v>
      </c>
      <c r="G430" s="428">
        <v>45877</v>
      </c>
      <c r="H430" s="464"/>
      <c r="I430" s="464">
        <v>0.33333333333333331</v>
      </c>
      <c r="J430" s="464">
        <v>0.20833333333333334</v>
      </c>
      <c r="K430" s="464">
        <v>0.625</v>
      </c>
      <c r="L430" s="464">
        <v>0.54166666666666663</v>
      </c>
      <c r="M430" s="464">
        <v>8.3333333333333329E-2</v>
      </c>
      <c r="N430" s="464">
        <v>0.875</v>
      </c>
      <c r="O430" s="462" t="s">
        <v>322</v>
      </c>
      <c r="P430" s="462"/>
      <c r="Q430" s="365"/>
      <c r="R430" s="466">
        <f>VLOOKUP(Table2[[#This Row],[Course Title]],'TSD-Data'!$A$1:$E$56,4,FALSE)</f>
        <v>25</v>
      </c>
      <c r="S430" s="465">
        <f>VLOOKUP(Table2[[#This Row],[Course Title]],'TSD-Data'!$A$1:$F$53,6,FALSE)</f>
        <v>40</v>
      </c>
      <c r="T430" s="465">
        <f>VLOOKUP(Table2[[#This Row],[Course Title]],'TSD-Data'!$A$1:$E$56,5,FALSE)</f>
        <v>5</v>
      </c>
      <c r="U430" s="465">
        <v>0</v>
      </c>
      <c r="V430" s="465">
        <f>Table2[[#This Row],[Quotas]]-Table2[[#This Row],[Open Quotas]]</f>
        <v>9</v>
      </c>
      <c r="W430" s="465"/>
      <c r="X430" s="466"/>
      <c r="Y430" s="466"/>
      <c r="Z430" s="465"/>
      <c r="AA430" s="465"/>
      <c r="AB430" s="463"/>
      <c r="AC430" s="465"/>
      <c r="AD430" s="466">
        <f ca="1">Table2[[#This Row],[End Date]]+2-TODAY()</f>
        <v>102</v>
      </c>
      <c r="AE430" s="465">
        <f>IF(ISBLANK(Table2[[#This Row],[Received by]]),1,0)</f>
        <v>1</v>
      </c>
      <c r="AF430" s="465">
        <f ca="1">IF(Table2[[#This Row],[Start Date]]&gt;TODAY(),1,)</f>
        <v>1</v>
      </c>
      <c r="AG430" s="465">
        <f>IF(ISBLANK(Table2[[#This Row],[Primary Instructor]]),0,1)</f>
        <v>1</v>
      </c>
      <c r="AH430" s="465">
        <f>IF(ISBLANK(Table2[[#This Row],[Instructor 2]]),0,1)</f>
        <v>0</v>
      </c>
      <c r="AI430" s="465">
        <f>Table2[[#This Row],[Course Length (Hours)]]/(SUM(Table2[[#This Row],[1]:[2]]))</f>
        <v>40</v>
      </c>
      <c r="AJ430" s="465">
        <v>16</v>
      </c>
      <c r="AK430" s="467">
        <v>4</v>
      </c>
    </row>
    <row r="431" spans="1:37" s="408" customFormat="1" x14ac:dyDescent="0.25">
      <c r="A431" s="462"/>
      <c r="B431" s="426" t="s">
        <v>17</v>
      </c>
      <c r="C431" s="463" t="str">
        <f>VLOOKUP(Table2[[#This Row],[Course Title]],'TSD-Data'!$A$1:$E$56,2,FALSE)</f>
        <v>A-493-0012</v>
      </c>
      <c r="D431" s="463">
        <f>VLOOKUP(Table2[[#This Row],[Course Title]],'TSD-Data'!$A$1:$E$56,3,FALSE)</f>
        <v>3682</v>
      </c>
      <c r="E431" s="448" t="s">
        <v>162</v>
      </c>
      <c r="F431" s="428">
        <v>45873</v>
      </c>
      <c r="G431" s="428">
        <v>45877</v>
      </c>
      <c r="H431" s="464">
        <v>0.33333333333333331</v>
      </c>
      <c r="I431" s="464"/>
      <c r="J431" s="428"/>
      <c r="K431" s="428"/>
      <c r="L431" s="428"/>
      <c r="M431" s="428"/>
      <c r="N431" s="428"/>
      <c r="O431" s="462" t="s">
        <v>283</v>
      </c>
      <c r="P431" s="462"/>
      <c r="Q431" s="365"/>
      <c r="R431" s="465">
        <f>VLOOKUP(Table2[[#This Row],[Course Title]],'TSD-Data'!$A$1:$E$56,4,FALSE)</f>
        <v>40</v>
      </c>
      <c r="S431" s="465">
        <f>VLOOKUP(Table2[[#This Row],[Course Title]],'TSD-Data'!$A$1:$F$53,6,FALSE)</f>
        <v>40</v>
      </c>
      <c r="T431" s="465">
        <f>VLOOKUP(Table2[[#This Row],[Course Title]],'TSD-Data'!$A$1:$E$56,5,FALSE)</f>
        <v>5</v>
      </c>
      <c r="U431" s="465">
        <v>15</v>
      </c>
      <c r="V431" s="465">
        <f>Table2[[#This Row],[Quotas]]-Table2[[#This Row],[Open Quotas]]</f>
        <v>20</v>
      </c>
      <c r="W431" s="465"/>
      <c r="X431" s="465"/>
      <c r="Y431" s="466"/>
      <c r="Z431" s="465"/>
      <c r="AA431" s="465"/>
      <c r="AB431" s="463"/>
      <c r="AC431" s="465"/>
      <c r="AD431" s="466">
        <f ca="1">Table2[[#This Row],[End Date]]+2-TODAY()</f>
        <v>102</v>
      </c>
      <c r="AE431" s="465">
        <f>IF(ISBLANK(Table2[[#This Row],[Received by]]),1,0)</f>
        <v>1</v>
      </c>
      <c r="AF431" s="465">
        <f ca="1">IF(Table2[[#This Row],[Start Date]]&gt;TODAY(),1,)</f>
        <v>1</v>
      </c>
      <c r="AG431" s="465">
        <f>IF(ISBLANK(Table2[[#This Row],[Primary Instructor]]),0,1)</f>
        <v>1</v>
      </c>
      <c r="AH431" s="465">
        <f>IF(ISBLANK(Table2[[#This Row],[Instructor 2]]),0,1)</f>
        <v>0</v>
      </c>
      <c r="AI431" s="465">
        <f>Table2[[#This Row],[Course Length (Hours)]]/(SUM(Table2[[#This Row],[1]:[2]]))</f>
        <v>40</v>
      </c>
      <c r="AJ431" s="465">
        <v>20</v>
      </c>
      <c r="AK431" s="467">
        <v>4</v>
      </c>
    </row>
    <row r="432" spans="1:37" s="408" customFormat="1" x14ac:dyDescent="0.25">
      <c r="A432" s="462"/>
      <c r="B432" s="426" t="s">
        <v>17</v>
      </c>
      <c r="C432" s="463" t="str">
        <f>VLOOKUP(Table2[[#This Row],[Course Title]],'TSD-Data'!$A$1:$E$56,2,FALSE)</f>
        <v>A-493-0012</v>
      </c>
      <c r="D432" s="463">
        <f>VLOOKUP(Table2[[#This Row],[Course Title]],'TSD-Data'!$A$1:$E$56,3,FALSE)</f>
        <v>3682</v>
      </c>
      <c r="E432" s="426" t="s">
        <v>209</v>
      </c>
      <c r="F432" s="428">
        <v>45873</v>
      </c>
      <c r="G432" s="428">
        <v>45877</v>
      </c>
      <c r="H432" s="464">
        <v>0.33333333333333331</v>
      </c>
      <c r="I432" s="464"/>
      <c r="J432" s="428"/>
      <c r="K432" s="428"/>
      <c r="L432" s="428"/>
      <c r="M432" s="428"/>
      <c r="N432" s="428"/>
      <c r="O432" s="462" t="s">
        <v>257</v>
      </c>
      <c r="P432" s="462"/>
      <c r="Q432" s="365"/>
      <c r="R432" s="465">
        <f>VLOOKUP(Table2[[#This Row],[Course Title]],'TSD-Data'!$A$1:$E$56,4,FALSE)</f>
        <v>40</v>
      </c>
      <c r="S432" s="465">
        <f>VLOOKUP(Table2[[#This Row],[Course Title]],'TSD-Data'!$A$1:$F$53,6,FALSE)</f>
        <v>40</v>
      </c>
      <c r="T432" s="465">
        <f>VLOOKUP(Table2[[#This Row],[Course Title]],'TSD-Data'!$A$1:$E$56,5,FALSE)</f>
        <v>5</v>
      </c>
      <c r="U432" s="465">
        <v>60</v>
      </c>
      <c r="V432" s="465">
        <f>Table2[[#This Row],[Quotas]]-Table2[[#This Row],[Open Quotas]]</f>
        <v>0</v>
      </c>
      <c r="W432" s="465"/>
      <c r="X432" s="465"/>
      <c r="Y432" s="466"/>
      <c r="Z432" s="465"/>
      <c r="AA432" s="465"/>
      <c r="AB432" s="463"/>
      <c r="AC432" s="465"/>
      <c r="AD432" s="466">
        <f ca="1">Table2[[#This Row],[End Date]]+2-TODAY()</f>
        <v>102</v>
      </c>
      <c r="AE432" s="465">
        <f>IF(ISBLANK(Table2[[#This Row],[Received by]]),1,0)</f>
        <v>1</v>
      </c>
      <c r="AF432" s="465">
        <f ca="1">IF(Table2[[#This Row],[Start Date]]&gt;TODAY(),1,)</f>
        <v>1</v>
      </c>
      <c r="AG432" s="465">
        <f>IF(ISBLANK(Table2[[#This Row],[Primary Instructor]]),0,1)</f>
        <v>1</v>
      </c>
      <c r="AH432" s="465">
        <f>IF(ISBLANK(Table2[[#This Row],[Instructor 2]]),0,1)</f>
        <v>0</v>
      </c>
      <c r="AI432" s="465">
        <f>Table2[[#This Row],[Course Length (Hours)]]/(SUM(Table2[[#This Row],[1]:[2]]))</f>
        <v>40</v>
      </c>
      <c r="AJ432" s="465">
        <v>40</v>
      </c>
      <c r="AK432" s="467">
        <v>4</v>
      </c>
    </row>
    <row r="433" spans="1:37" s="408" customFormat="1" x14ac:dyDescent="0.25">
      <c r="A433" s="462"/>
      <c r="B433" s="426" t="s">
        <v>38</v>
      </c>
      <c r="C433" s="463" t="str">
        <f>VLOOKUP(Table2[[#This Row],[Course Title]],'TSD-Data'!$A$1:$E$56,2,FALSE)</f>
        <v>A-493-0061</v>
      </c>
      <c r="D433" s="463" t="str">
        <f>VLOOKUP(Table2[[#This Row],[Course Title]],'TSD-Data'!$A$1:$E$56,3,FALSE)</f>
        <v>288E</v>
      </c>
      <c r="E433" s="426" t="s">
        <v>86</v>
      </c>
      <c r="F433" s="428">
        <v>45873</v>
      </c>
      <c r="G433" s="428">
        <v>45874</v>
      </c>
      <c r="H433" s="464"/>
      <c r="I433" s="469">
        <v>0.33333333333333331</v>
      </c>
      <c r="J433" s="464">
        <v>0.20833333333333334</v>
      </c>
      <c r="K433" s="464">
        <v>0.625</v>
      </c>
      <c r="L433" s="464">
        <v>0.54166666666666663</v>
      </c>
      <c r="M433" s="464">
        <v>8.3333333333333329E-2</v>
      </c>
      <c r="N433" s="464">
        <v>0.875</v>
      </c>
      <c r="O433" s="462" t="s">
        <v>303</v>
      </c>
      <c r="P433" s="462"/>
      <c r="Q433" s="365"/>
      <c r="R433" s="465">
        <f>VLOOKUP(Table2[[#This Row],[Course Title]],'TSD-Data'!$A$1:$E$56,4,FALSE)</f>
        <v>45</v>
      </c>
      <c r="S433" s="465">
        <f>VLOOKUP(Table2[[#This Row],[Course Title]],'TSD-Data'!$A$1:$F$53,6,FALSE)</f>
        <v>30</v>
      </c>
      <c r="T433" s="465">
        <f>VLOOKUP(Table2[[#This Row],[Course Title]],'TSD-Data'!$A$1:$E$56,5,FALSE)</f>
        <v>4</v>
      </c>
      <c r="U433" s="465">
        <v>369</v>
      </c>
      <c r="V433" s="465">
        <f>Table2[[#This Row],[Quotas]]-Table2[[#This Row],[Open Quotas]]</f>
        <v>2</v>
      </c>
      <c r="W433" s="465"/>
      <c r="X433" s="465"/>
      <c r="Y433" s="466"/>
      <c r="Z433" s="465"/>
      <c r="AA433" s="465"/>
      <c r="AB433" s="465"/>
      <c r="AC433" s="465"/>
      <c r="AD433" s="466">
        <f ca="1">Table2[[#This Row],[End Date]]+2-TODAY()</f>
        <v>99</v>
      </c>
      <c r="AE433" s="465">
        <f>IF(ISBLANK(Table2[[#This Row],[Received by]]),1,0)</f>
        <v>1</v>
      </c>
      <c r="AF433" s="465">
        <f ca="1">IF(Table2[[#This Row],[Start Date]]&gt;TODAY(),1,)</f>
        <v>1</v>
      </c>
      <c r="AG433" s="465">
        <f>IF(ISBLANK(Table2[[#This Row],[Primary Instructor]]),0,1)</f>
        <v>1</v>
      </c>
      <c r="AH433" s="465">
        <f>IF(ISBLANK(Table2[[#This Row],[Instructor 2]]),0,1)</f>
        <v>0</v>
      </c>
      <c r="AI433" s="465">
        <f>Table2[[#This Row],[Course Length (Hours)]]/(SUM(Table2[[#This Row],[1]:[2]]))</f>
        <v>30</v>
      </c>
      <c r="AJ433" s="465">
        <v>43</v>
      </c>
      <c r="AK433" s="467">
        <v>4</v>
      </c>
    </row>
    <row r="434" spans="1:37" s="408" customFormat="1" x14ac:dyDescent="0.25">
      <c r="A434" s="462"/>
      <c r="B434" s="426" t="s">
        <v>29</v>
      </c>
      <c r="C434" s="463" t="str">
        <f>VLOOKUP(Table2[[#This Row],[Course Title]],'TSD-Data'!$A$1:$E$56,2,FALSE)</f>
        <v>A-493-0077</v>
      </c>
      <c r="D434" s="463" t="str">
        <f>VLOOKUP(Table2[[#This Row],[Course Title]],'TSD-Data'!$A$1:$E$56,3,FALSE)</f>
        <v>0381</v>
      </c>
      <c r="E434" s="426" t="s">
        <v>199</v>
      </c>
      <c r="F434" s="428">
        <v>45873</v>
      </c>
      <c r="G434" s="428">
        <v>45875</v>
      </c>
      <c r="H434" s="464">
        <v>0.33333333333333331</v>
      </c>
      <c r="I434" s="464"/>
      <c r="J434" s="464"/>
      <c r="K434" s="464"/>
      <c r="L434" s="464"/>
      <c r="M434" s="464"/>
      <c r="N434" s="464"/>
      <c r="O434" s="462" t="s">
        <v>280</v>
      </c>
      <c r="P434" s="462"/>
      <c r="Q434" s="365"/>
      <c r="R434" s="465">
        <f>VLOOKUP(Table2[[#This Row],[Course Title]],'TSD-Data'!$A$1:$E$56,4,FALSE)</f>
        <v>25</v>
      </c>
      <c r="S434" s="465">
        <f>VLOOKUP(Table2[[#This Row],[Course Title]],'TSD-Data'!$A$1:$F$53,6,FALSE)</f>
        <v>24</v>
      </c>
      <c r="T434" s="465">
        <f>VLOOKUP(Table2[[#This Row],[Course Title]],'TSD-Data'!$A$1:$E$56,5,FALSE)</f>
        <v>3</v>
      </c>
      <c r="U434" s="465">
        <v>139</v>
      </c>
      <c r="V434" s="465">
        <f>Table2[[#This Row],[Quotas]]-Table2[[#This Row],[Open Quotas]]</f>
        <v>2</v>
      </c>
      <c r="W434" s="465"/>
      <c r="X434" s="465"/>
      <c r="Y434" s="466"/>
      <c r="Z434" s="465"/>
      <c r="AA434" s="465"/>
      <c r="AB434" s="463"/>
      <c r="AC434" s="465"/>
      <c r="AD434" s="466">
        <f ca="1">Table2[[#This Row],[End Date]]+2-TODAY()</f>
        <v>100</v>
      </c>
      <c r="AE434" s="465">
        <f>IF(ISBLANK(Table2[[#This Row],[Received by]]),1,0)</f>
        <v>1</v>
      </c>
      <c r="AF434" s="465">
        <f ca="1">IF(Table2[[#This Row],[Start Date]]&gt;TODAY(),1,)</f>
        <v>1</v>
      </c>
      <c r="AG434" s="465">
        <f>IF(ISBLANK(Table2[[#This Row],[Primary Instructor]]),0,1)</f>
        <v>1</v>
      </c>
      <c r="AH434" s="465">
        <f>IF(ISBLANK(Table2[[#This Row],[Instructor 2]]),0,1)</f>
        <v>0</v>
      </c>
      <c r="AI434" s="465">
        <f>Table2[[#This Row],[Course Length (Hours)]]/(SUM(Table2[[#This Row],[1]:[2]]))</f>
        <v>24</v>
      </c>
      <c r="AJ434" s="465">
        <v>23</v>
      </c>
      <c r="AK434" s="467">
        <v>4</v>
      </c>
    </row>
    <row r="435" spans="1:37" s="408" customFormat="1" x14ac:dyDescent="0.25">
      <c r="A435" s="462" t="s">
        <v>485</v>
      </c>
      <c r="B435" s="426" t="s">
        <v>31</v>
      </c>
      <c r="C435" s="463" t="str">
        <f>VLOOKUP(Table2[[#This Row],[Course Title]],'TSD-Data'!$A$1:$E$56,2,FALSE)</f>
        <v>A-493-0083</v>
      </c>
      <c r="D435" s="463" t="str">
        <f>VLOOKUP(Table2[[#This Row],[Course Title]],'TSD-Data'!$A$1:$E$56,3,FALSE)</f>
        <v>339E</v>
      </c>
      <c r="E435" s="426" t="s">
        <v>86</v>
      </c>
      <c r="F435" s="428">
        <v>45873</v>
      </c>
      <c r="G435" s="428">
        <v>45873</v>
      </c>
      <c r="H435" s="464"/>
      <c r="I435" s="464">
        <v>0.45833333333333331</v>
      </c>
      <c r="J435" s="464">
        <v>0.33333333333333331</v>
      </c>
      <c r="K435" s="464">
        <v>0.75</v>
      </c>
      <c r="L435" s="464">
        <v>0.66666666666666663</v>
      </c>
      <c r="M435" s="464">
        <v>0.20833333333333334</v>
      </c>
      <c r="N435" s="464">
        <v>0</v>
      </c>
      <c r="O435" s="462" t="s">
        <v>280</v>
      </c>
      <c r="P435" s="462"/>
      <c r="Q435" s="365"/>
      <c r="R435" s="465">
        <f>VLOOKUP(Table2[[#This Row],[Course Title]],'TSD-Data'!$A$1:$E$56,4,FALSE)</f>
        <v>30</v>
      </c>
      <c r="S435" s="465">
        <f>VLOOKUP(Table2[[#This Row],[Course Title]],'TSD-Data'!$A$1:$F$53,6,FALSE)</f>
        <v>8</v>
      </c>
      <c r="T435" s="465">
        <f>VLOOKUP(Table2[[#This Row],[Course Title]],'TSD-Data'!$A$1:$E$56,5,FALSE)</f>
        <v>1</v>
      </c>
      <c r="U435" s="465">
        <v>0</v>
      </c>
      <c r="V435" s="465">
        <f>Table2[[#This Row],[Quotas]]-Table2[[#This Row],[Open Quotas]]</f>
        <v>3</v>
      </c>
      <c r="W435" s="465"/>
      <c r="X435" s="466"/>
      <c r="Y435" s="465"/>
      <c r="Z435" s="465"/>
      <c r="AA435" s="465"/>
      <c r="AB435" s="465"/>
      <c r="AC435" s="465"/>
      <c r="AD435" s="466">
        <f ca="1">Table2[[#This Row],[End Date]]+2-TODAY()</f>
        <v>98</v>
      </c>
      <c r="AE435" s="465">
        <f>IF(ISBLANK(Table2[[#This Row],[Received by]]),1,0)</f>
        <v>1</v>
      </c>
      <c r="AF435" s="465">
        <f ca="1">IF(Table2[[#This Row],[Start Date]]&gt;TODAY(),1,)</f>
        <v>1</v>
      </c>
      <c r="AG435" s="465">
        <f>IF(ISBLANK(Table2[[#This Row],[Primary Instructor]]),0,1)</f>
        <v>1</v>
      </c>
      <c r="AH435" s="465">
        <f>IF(ISBLANK(Table2[[#This Row],[Instructor 2]]),0,1)</f>
        <v>0</v>
      </c>
      <c r="AI435" s="465">
        <f>Table2[[#This Row],[Course Length (Hours)]]/(SUM(Table2[[#This Row],[1]:[2]]))</f>
        <v>8</v>
      </c>
      <c r="AJ435" s="465">
        <v>27</v>
      </c>
      <c r="AK435" s="467">
        <v>4</v>
      </c>
    </row>
    <row r="436" spans="1:37" s="408" customFormat="1" x14ac:dyDescent="0.25">
      <c r="A436" s="448"/>
      <c r="B436" s="426" t="s">
        <v>33</v>
      </c>
      <c r="C436" s="463" t="str">
        <f>VLOOKUP(Table2[[#This Row],[Course Title]],'TSD-Data'!$A$1:$E$56,2,FALSE)</f>
        <v>A-493-2301</v>
      </c>
      <c r="D436" s="463" t="str">
        <f>VLOOKUP(Table2[[#This Row],[Course Title]],'TSD-Data'!$A$1:$E$56,3,FALSE)</f>
        <v>05ZD</v>
      </c>
      <c r="E436" s="426" t="s">
        <v>172</v>
      </c>
      <c r="F436" s="428">
        <v>45873</v>
      </c>
      <c r="G436" s="428">
        <v>45873</v>
      </c>
      <c r="H436" s="464">
        <v>0.33333333333333331</v>
      </c>
      <c r="I436" s="464"/>
      <c r="J436" s="464"/>
      <c r="K436" s="464"/>
      <c r="L436" s="464"/>
      <c r="M436" s="464"/>
      <c r="N436" s="464"/>
      <c r="O436" s="462" t="s">
        <v>280</v>
      </c>
      <c r="P436" s="462"/>
      <c r="Q436" s="365"/>
      <c r="R436" s="465">
        <f>VLOOKUP(Table2[[#This Row],[Course Title]],'TSD-Data'!$A$1:$E$56,4,FALSE)</f>
        <v>30</v>
      </c>
      <c r="S436" s="465">
        <f>VLOOKUP(Table2[[#This Row],[Course Title]],'TSD-Data'!$A$1:$F$53,6,FALSE)</f>
        <v>8</v>
      </c>
      <c r="T436" s="465">
        <f>VLOOKUP(Table2[[#This Row],[Course Title]],'TSD-Data'!$A$1:$E$56,5,FALSE)</f>
        <v>1</v>
      </c>
      <c r="U436" s="465">
        <v>35</v>
      </c>
      <c r="V436" s="465">
        <f ca="1">Table2[[#This Row],[Quotas]]-Table2[[#This Row],[Open Quotas]]</f>
        <v>0</v>
      </c>
      <c r="W436" s="465"/>
      <c r="X436" s="465"/>
      <c r="Y436" s="466"/>
      <c r="Z436" s="465"/>
      <c r="AA436" s="465"/>
      <c r="AB436" s="463"/>
      <c r="AC436" s="465"/>
      <c r="AD436" s="466">
        <f ca="1">Table2[[#This Row],[End Date]]+2-TODAY()</f>
        <v>98</v>
      </c>
      <c r="AE436" s="465">
        <f>IF(ISBLANK(Table2[[#This Row],[Received by]]),1,0)</f>
        <v>1</v>
      </c>
      <c r="AF436" s="465">
        <f ca="1">IF(Table2[[#This Row],[Start Date]]&gt;TODAY(),1,)</f>
        <v>1</v>
      </c>
      <c r="AG436" s="465">
        <f>IF(ISBLANK(Table2[[#This Row],[Primary Instructor]]),0,1)</f>
        <v>1</v>
      </c>
      <c r="AH436" s="465">
        <f>IF(ISBLANK(Table2[[#This Row],[Instructor 2]]),0,1)</f>
        <v>0</v>
      </c>
      <c r="AI436" s="465">
        <f>Table2[[#This Row],[Course Length (Hours)]]/(SUM(Table2[[#This Row],[1]:[2]]))</f>
        <v>8</v>
      </c>
      <c r="AJ436" s="465">
        <f ca="1">Table2[[#This Row],[Quotas]]-Table2[[#This Row],[Registered]]</f>
        <v>30</v>
      </c>
      <c r="AK436" s="467">
        <v>4</v>
      </c>
    </row>
    <row r="437" spans="1:37" s="408" customFormat="1" x14ac:dyDescent="0.25">
      <c r="A437" s="462"/>
      <c r="B437" s="426" t="s">
        <v>50</v>
      </c>
      <c r="C437" s="463" t="str">
        <f>VLOOKUP(Table2[[#This Row],[Course Title]],'TSD-Data'!$A$1:$E$56,2,FALSE)</f>
        <v>A-493-0331</v>
      </c>
      <c r="D437" s="463" t="str">
        <f>VLOOKUP(Table2[[#This Row],[Course Title]],'TSD-Data'!$A$1:$E$56,3,FALSE)</f>
        <v>10UG</v>
      </c>
      <c r="E437" s="426" t="s">
        <v>86</v>
      </c>
      <c r="F437" s="451">
        <v>45873</v>
      </c>
      <c r="G437" s="428">
        <v>45875</v>
      </c>
      <c r="H437" s="464"/>
      <c r="I437" s="464">
        <v>0.79166666666666663</v>
      </c>
      <c r="J437" s="469">
        <v>0.66666666666666663</v>
      </c>
      <c r="K437" s="469">
        <v>8.3333333333333329E-2</v>
      </c>
      <c r="L437" s="469">
        <v>0</v>
      </c>
      <c r="M437" s="469">
        <v>0.54166666666666663</v>
      </c>
      <c r="N437" s="469">
        <v>0.33333333333333331</v>
      </c>
      <c r="O437" s="462" t="s">
        <v>274</v>
      </c>
      <c r="P437" s="462"/>
      <c r="Q437" s="365"/>
      <c r="R437" s="465">
        <f>VLOOKUP(Table2[[#This Row],[Course Title]],'TSD-Data'!$A$1:$E$56,4,FALSE)</f>
        <v>45</v>
      </c>
      <c r="S437" s="465">
        <f>VLOOKUP(Table2[[#This Row],[Course Title]],'TSD-Data'!$A$1:$F$53,6,FALSE)</f>
        <v>24</v>
      </c>
      <c r="T437" s="465">
        <f>VLOOKUP(Table2[[#This Row],[Course Title]],'TSD-Data'!$A$1:$E$56,5,FALSE)</f>
        <v>3</v>
      </c>
      <c r="U437" s="465">
        <v>169</v>
      </c>
      <c r="V437" s="465">
        <f>Table2[[#This Row],[Quotas]]-Table2[[#This Row],[Open Quotas]]</f>
        <v>7</v>
      </c>
      <c r="W437" s="465">
        <v>0</v>
      </c>
      <c r="X437" s="465"/>
      <c r="Y437" s="466"/>
      <c r="Z437" s="465"/>
      <c r="AA437" s="465"/>
      <c r="AB437" s="465"/>
      <c r="AC437" s="465"/>
      <c r="AD437" s="466">
        <f ca="1">Table2[[#This Row],[End Date]]+2-TODAY()</f>
        <v>100</v>
      </c>
      <c r="AE437" s="465">
        <f>IF(ISBLANK(Table2[[#This Row],[Received by]]),1,0)</f>
        <v>1</v>
      </c>
      <c r="AF437" s="465">
        <f ca="1">IF(Table2[[#This Row],[Start Date]]&gt;TODAY(),1,)</f>
        <v>1</v>
      </c>
      <c r="AG437" s="465">
        <f>IF(ISBLANK(Table2[[#This Row],[Primary Instructor]]),0,1)</f>
        <v>1</v>
      </c>
      <c r="AH437" s="465">
        <f>IF(ISBLANK(Table2[[#This Row],[Instructor 2]]),0,1)</f>
        <v>0</v>
      </c>
      <c r="AI437" s="465">
        <f>Table2[[#This Row],[Course Length (Hours)]]/(SUM(Table2[[#This Row],[1]:[2]]))</f>
        <v>24</v>
      </c>
      <c r="AJ437" s="465">
        <v>38</v>
      </c>
      <c r="AK437" s="467">
        <v>4</v>
      </c>
    </row>
    <row r="438" spans="1:37" s="408" customFormat="1" x14ac:dyDescent="0.25">
      <c r="A438" s="426"/>
      <c r="B438" s="426" t="s">
        <v>59</v>
      </c>
      <c r="C438" s="463" t="str">
        <f>VLOOKUP(Table2[[#This Row],[Course Title]],'TSD-Data'!$A$1:$E$56,2,FALSE)</f>
        <v>A-493-0550</v>
      </c>
      <c r="D438" s="463" t="str">
        <f>VLOOKUP(Table2[[#This Row],[Course Title]],'TSD-Data'!$A$1:$E$56,3,FALSE)</f>
        <v>09K5</v>
      </c>
      <c r="E438" s="426" t="s">
        <v>86</v>
      </c>
      <c r="F438" s="451">
        <v>45873</v>
      </c>
      <c r="G438" s="451">
        <v>45876</v>
      </c>
      <c r="H438" s="464"/>
      <c r="I438" s="469">
        <v>0.5</v>
      </c>
      <c r="J438" s="469">
        <v>0.375</v>
      </c>
      <c r="K438" s="469">
        <v>0.79166666666666663</v>
      </c>
      <c r="L438" s="469">
        <v>0.75</v>
      </c>
      <c r="M438" s="469">
        <v>0.25</v>
      </c>
      <c r="N438" s="469">
        <v>4.1666666666666664E-2</v>
      </c>
      <c r="O438" s="462" t="s">
        <v>301</v>
      </c>
      <c r="P438" s="462"/>
      <c r="Q438" s="365"/>
      <c r="R438" s="465">
        <f>VLOOKUP(Table2[[#This Row],[Course Title]],'TSD-Data'!$A$1:$E$56,4,FALSE)</f>
        <v>45</v>
      </c>
      <c r="S438" s="465">
        <f>VLOOKUP(Table2[[#This Row],[Course Title]],'TSD-Data'!$A$1:$F$53,6,FALSE)</f>
        <v>32</v>
      </c>
      <c r="T438" s="465">
        <f>VLOOKUP(Table2[[#This Row],[Course Title]],'TSD-Data'!$A$1:$E$56,5,FALSE)</f>
        <v>4</v>
      </c>
      <c r="U438" s="465">
        <v>949</v>
      </c>
      <c r="V438" s="465">
        <f>Table2[[#This Row],[Quotas]]-Table2[[#This Row],[Open Quotas]]</f>
        <v>1</v>
      </c>
      <c r="W438" s="465"/>
      <c r="X438" s="465"/>
      <c r="Y438" s="466"/>
      <c r="Z438" s="465"/>
      <c r="AA438" s="465"/>
      <c r="AB438" s="465"/>
      <c r="AC438" s="465"/>
      <c r="AD438" s="466">
        <f ca="1">Table2[[#This Row],[End Date]]+2-TODAY()</f>
        <v>101</v>
      </c>
      <c r="AE438" s="465">
        <f>IF(ISBLANK(Table2[[#This Row],[Received by]]),1,0)</f>
        <v>1</v>
      </c>
      <c r="AF438" s="465">
        <f ca="1">IF(Table2[[#This Row],[Start Date]]&gt;TODAY(),1,)</f>
        <v>1</v>
      </c>
      <c r="AG438" s="465">
        <f>IF(ISBLANK(Table2[[#This Row],[Primary Instructor]]),0,1)</f>
        <v>1</v>
      </c>
      <c r="AH438" s="465">
        <f>IF(ISBLANK(Table2[[#This Row],[Instructor 2]]),0,1)</f>
        <v>0</v>
      </c>
      <c r="AI438" s="465">
        <f>Table2[[#This Row],[Course Length (Hours)]]/(SUM(Table2[[#This Row],[1]:[2]]))</f>
        <v>32</v>
      </c>
      <c r="AJ438" s="465">
        <v>44</v>
      </c>
      <c r="AK438" s="467">
        <v>4</v>
      </c>
    </row>
    <row r="439" spans="1:37" s="408" customFormat="1" x14ac:dyDescent="0.25">
      <c r="A439" s="462"/>
      <c r="B439" s="426" t="s">
        <v>53</v>
      </c>
      <c r="C439" s="463" t="str">
        <f>VLOOKUP(Table2[[#This Row],[Course Title]],'TSD-Data'!$A$1:$E$56,2,FALSE)</f>
        <v>A-493-0072</v>
      </c>
      <c r="D439" s="463" t="str">
        <f>VLOOKUP(Table2[[#This Row],[Course Title]],'TSD-Data'!$A$1:$E$56,3,FALSE)</f>
        <v>713U</v>
      </c>
      <c r="E439" s="471" t="s">
        <v>194</v>
      </c>
      <c r="F439" s="451">
        <v>45873</v>
      </c>
      <c r="G439" s="451">
        <v>45877</v>
      </c>
      <c r="H439" s="464">
        <v>0.33333333333333331</v>
      </c>
      <c r="I439" s="468"/>
      <c r="J439" s="468"/>
      <c r="K439" s="468"/>
      <c r="L439" s="468"/>
      <c r="M439" s="468"/>
      <c r="N439" s="468"/>
      <c r="O439" s="462" t="s">
        <v>278</v>
      </c>
      <c r="P439" s="462"/>
      <c r="Q439" s="431" t="s">
        <v>288</v>
      </c>
      <c r="R439" s="465">
        <f>VLOOKUP(Table2[[#This Row],[Course Title]],'TSD-Data'!$A$1:$E$56,4,FALSE)</f>
        <v>30</v>
      </c>
      <c r="S439" s="465">
        <f>VLOOKUP(Table2[[#This Row],[Course Title]],'TSD-Data'!$A$1:$F$53,6,FALSE)</f>
        <v>40</v>
      </c>
      <c r="T439" s="465">
        <f>VLOOKUP(Table2[[#This Row],[Course Title]],'TSD-Data'!$A$1:$E$56,5,FALSE)</f>
        <v>5</v>
      </c>
      <c r="U439" s="465">
        <v>32</v>
      </c>
      <c r="V439" s="465">
        <f>Table2[[#This Row],[Quotas]]-Table2[[#This Row],[Open Quotas]]</f>
        <v>6</v>
      </c>
      <c r="W439" s="465"/>
      <c r="X439" s="465"/>
      <c r="Y439" s="466"/>
      <c r="Z439" s="465"/>
      <c r="AA439" s="465"/>
      <c r="AB439" s="465"/>
      <c r="AC439" s="465"/>
      <c r="AD439" s="466">
        <f ca="1">Table2[[#This Row],[End Date]]+2-TODAY()</f>
        <v>102</v>
      </c>
      <c r="AE439" s="465">
        <f>IF(ISBLANK(Table2[[#This Row],[Received by]]),1,0)</f>
        <v>1</v>
      </c>
      <c r="AF439" s="465">
        <f ca="1">IF(Table2[[#This Row],[Start Date]]&gt;TODAY(),1,)</f>
        <v>1</v>
      </c>
      <c r="AG439" s="465">
        <f>IF(ISBLANK(Table2[[#This Row],[Primary Instructor]]),0,1)</f>
        <v>1</v>
      </c>
      <c r="AH439" s="465">
        <f>IF(ISBLANK(Table2[[#This Row],[Instructor 2]]),0,1)</f>
        <v>0</v>
      </c>
      <c r="AI439" s="465">
        <f>Table2[[#This Row],[Course Length (Hours)]]/(SUM(Table2[[#This Row],[1]:[2]]))</f>
        <v>40</v>
      </c>
      <c r="AJ439" s="465">
        <v>24</v>
      </c>
      <c r="AK439" s="467">
        <v>4</v>
      </c>
    </row>
    <row r="440" spans="1:37" s="408" customFormat="1" x14ac:dyDescent="0.25">
      <c r="A440" s="463"/>
      <c r="B440" s="426" t="s">
        <v>40</v>
      </c>
      <c r="C440" s="463" t="str">
        <f>VLOOKUP(Table2[[#This Row],[Course Title]],'TSD-Data'!$A$1:$E$56,2,FALSE)</f>
        <v>A-493-2098</v>
      </c>
      <c r="D440" s="463" t="str">
        <f>VLOOKUP(Table2[[#This Row],[Course Title]],'TSD-Data'!$A$1:$E$56,3,FALSE)</f>
        <v>09WW</v>
      </c>
      <c r="E440" s="426" t="s">
        <v>86</v>
      </c>
      <c r="F440" s="428">
        <v>45873</v>
      </c>
      <c r="G440" s="428">
        <v>45875</v>
      </c>
      <c r="H440" s="464"/>
      <c r="I440" s="464">
        <v>0.33333333333333331</v>
      </c>
      <c r="J440" s="464">
        <v>0.20833333333333334</v>
      </c>
      <c r="K440" s="464">
        <v>0.625</v>
      </c>
      <c r="L440" s="464">
        <v>0.54166666666666663</v>
      </c>
      <c r="M440" s="464">
        <v>8.3333333333333329E-2</v>
      </c>
      <c r="N440" s="464">
        <v>0.875</v>
      </c>
      <c r="O440" s="462" t="s">
        <v>282</v>
      </c>
      <c r="P440" s="462"/>
      <c r="Q440" s="365"/>
      <c r="R440" s="465">
        <f>VLOOKUP(Table2[[#This Row],[Course Title]],'TSD-Data'!$A$1:$E$56,4,FALSE)</f>
        <v>100</v>
      </c>
      <c r="S440" s="465">
        <f>VLOOKUP(Table2[[#This Row],[Course Title]],'TSD-Data'!$A$1:$F$53,6,FALSE)</f>
        <v>16</v>
      </c>
      <c r="T440" s="465">
        <f>VLOOKUP(Table2[[#This Row],[Course Title]],'TSD-Data'!$A$1:$E$56,5,FALSE)</f>
        <v>2</v>
      </c>
      <c r="U440" s="465">
        <v>722</v>
      </c>
      <c r="V440" s="465">
        <f>Table2[[#This Row],[Quotas]]-Table2[[#This Row],[Open Quotas]]</f>
        <v>26</v>
      </c>
      <c r="W440" s="465"/>
      <c r="X440" s="470"/>
      <c r="Y440" s="470"/>
      <c r="Z440" s="463"/>
      <c r="AA440" s="463"/>
      <c r="AB440" s="470"/>
      <c r="AC440" s="465"/>
      <c r="AD440" s="466">
        <f ca="1">Table2[[#This Row],[End Date]]+2-TODAY()</f>
        <v>100</v>
      </c>
      <c r="AE440" s="465">
        <f>IF(ISBLANK(Table2[[#This Row],[Received by]]),1,0)</f>
        <v>1</v>
      </c>
      <c r="AF440" s="465">
        <f ca="1">IF(Table2[[#This Row],[Start Date]]&gt;TODAY(),1,)</f>
        <v>1</v>
      </c>
      <c r="AG440" s="465">
        <f>IF(ISBLANK(Table2[[#This Row],[Primary Instructor]]),0,1)</f>
        <v>1</v>
      </c>
      <c r="AH440" s="465">
        <f>IF(ISBLANK(Table2[[#This Row],[Instructor 2]]),0,1)</f>
        <v>0</v>
      </c>
      <c r="AI440" s="465">
        <f>Table2[[#This Row],[Course Length (Hours)]]/(SUM(Table2[[#This Row],[1]:[2]]))</f>
        <v>16</v>
      </c>
      <c r="AJ440" s="465">
        <v>74</v>
      </c>
      <c r="AK440" s="467">
        <v>4</v>
      </c>
    </row>
    <row r="441" spans="1:37" s="408" customFormat="1" x14ac:dyDescent="0.25">
      <c r="A441" s="426"/>
      <c r="B441" s="426" t="s">
        <v>15</v>
      </c>
      <c r="C441" s="463" t="str">
        <f>VLOOKUP(Table2[[#This Row],[Course Title]],'TSD-Data'!$A$1:$E$56,2,FALSE)</f>
        <v>A-4J-0022</v>
      </c>
      <c r="D441" s="463" t="str">
        <f>VLOOKUP(Table2[[#This Row],[Course Title]],'TSD-Data'!$A$1:$E$56,3,FALSE)</f>
        <v>09ER</v>
      </c>
      <c r="E441" s="426" t="s">
        <v>86</v>
      </c>
      <c r="F441" s="428">
        <v>45874</v>
      </c>
      <c r="G441" s="428">
        <v>45875</v>
      </c>
      <c r="H441" s="464"/>
      <c r="I441" s="469">
        <v>0.5</v>
      </c>
      <c r="J441" s="469">
        <v>0.375</v>
      </c>
      <c r="K441" s="469">
        <v>0.79166666666666663</v>
      </c>
      <c r="L441" s="469">
        <v>0.75</v>
      </c>
      <c r="M441" s="469">
        <v>0.25</v>
      </c>
      <c r="N441" s="469">
        <v>4.1666666666666664E-2</v>
      </c>
      <c r="O441" s="462" t="s">
        <v>278</v>
      </c>
      <c r="P441" s="462"/>
      <c r="Q441" s="365"/>
      <c r="R441" s="465">
        <f>VLOOKUP(Table2[[#This Row],[Course Title]],'TSD-Data'!$A$1:$E$56,4,FALSE)</f>
        <v>45</v>
      </c>
      <c r="S441" s="465">
        <f>VLOOKUP(Table2[[#This Row],[Course Title]],'TSD-Data'!$A$1:$F$53,6,FALSE)</f>
        <v>16</v>
      </c>
      <c r="T441" s="465">
        <f>VLOOKUP(Table2[[#This Row],[Course Title]],'TSD-Data'!$A$1:$E$56,5,FALSE)</f>
        <v>2</v>
      </c>
      <c r="U441" s="465">
        <v>277</v>
      </c>
      <c r="V441" s="465">
        <f>Table2[[#This Row],[Quotas]]-Table2[[#This Row],[Open Quotas]]</f>
        <v>5</v>
      </c>
      <c r="W441" s="465"/>
      <c r="X441" s="465"/>
      <c r="Y441" s="466"/>
      <c r="Z441" s="465"/>
      <c r="AA441" s="465"/>
      <c r="AB441" s="463"/>
      <c r="AC441" s="465"/>
      <c r="AD441" s="466">
        <f ca="1">Table2[[#This Row],[End Date]]+2-TODAY()</f>
        <v>100</v>
      </c>
      <c r="AE441" s="465">
        <f>IF(ISBLANK(Table2[[#This Row],[Received by]]),1,0)</f>
        <v>1</v>
      </c>
      <c r="AF441" s="465">
        <f ca="1">IF(Table2[[#This Row],[Start Date]]&gt;TODAY(),1,)</f>
        <v>1</v>
      </c>
      <c r="AG441" s="465">
        <f>IF(ISBLANK(Table2[[#This Row],[Primary Instructor]]),0,1)</f>
        <v>1</v>
      </c>
      <c r="AH441" s="465">
        <f>IF(ISBLANK(Table2[[#This Row],[Instructor 2]]),0,1)</f>
        <v>0</v>
      </c>
      <c r="AI441" s="465">
        <f>Table2[[#This Row],[Course Length (Hours)]]/(SUM(Table2[[#This Row],[1]:[2]]))</f>
        <v>16</v>
      </c>
      <c r="AJ441" s="465">
        <v>40</v>
      </c>
      <c r="AK441" s="467">
        <v>4</v>
      </c>
    </row>
    <row r="442" spans="1:37" s="408" customFormat="1" x14ac:dyDescent="0.25">
      <c r="A442" s="462"/>
      <c r="B442" s="426" t="s">
        <v>57</v>
      </c>
      <c r="C442" s="463" t="str">
        <f>VLOOKUP(Table2[[#This Row],[Course Title]],'TSD-Data'!$A$1:$E$56,2,FALSE)</f>
        <v>A-493-0099</v>
      </c>
      <c r="D442" s="463" t="str">
        <f>VLOOKUP(Table2[[#This Row],[Course Title]],'TSD-Data'!$A$1:$E$56,3,FALSE)</f>
        <v>12JW</v>
      </c>
      <c r="E442" s="426" t="s">
        <v>86</v>
      </c>
      <c r="F442" s="428">
        <v>45874</v>
      </c>
      <c r="G442" s="428">
        <v>45876</v>
      </c>
      <c r="H442" s="428"/>
      <c r="I442" s="464">
        <v>0.41666666666666669</v>
      </c>
      <c r="J442" s="469">
        <v>0.29166666666666669</v>
      </c>
      <c r="K442" s="469">
        <v>0.70833333333333337</v>
      </c>
      <c r="L442" s="469">
        <v>0.66666666666666663</v>
      </c>
      <c r="M442" s="469">
        <v>0.16666666666666666</v>
      </c>
      <c r="N442" s="469">
        <v>0.95833333333333337</v>
      </c>
      <c r="O442" s="462" t="s">
        <v>305</v>
      </c>
      <c r="P442" s="462"/>
      <c r="Q442" s="365"/>
      <c r="R442" s="465">
        <f>VLOOKUP(Table2[[#This Row],[Course Title]],'TSD-Data'!$A$1:$E$56,4,FALSE)</f>
        <v>45</v>
      </c>
      <c r="S442" s="465">
        <f>VLOOKUP(Table2[[#This Row],[Course Title]],'TSD-Data'!$A$1:$F$53,6,FALSE)</f>
        <v>24</v>
      </c>
      <c r="T442" s="465">
        <f>VLOOKUP(Table2[[#This Row],[Course Title]],'TSD-Data'!$A$1:$E$56,5,FALSE)</f>
        <v>3</v>
      </c>
      <c r="U442" s="465">
        <v>334</v>
      </c>
      <c r="V442" s="465">
        <f ca="1">Table2[[#This Row],[Quotas]]-Table2[[#This Row],[Open Quotas]]</f>
        <v>0</v>
      </c>
      <c r="W442" s="465"/>
      <c r="X442" s="465"/>
      <c r="Y442" s="466"/>
      <c r="Z442" s="465"/>
      <c r="AA442" s="465"/>
      <c r="AB442" s="466"/>
      <c r="AC442" s="465"/>
      <c r="AD442" s="466">
        <f ca="1">Table2[[#This Row],[End Date]]+2-TODAY()</f>
        <v>101</v>
      </c>
      <c r="AE442" s="465">
        <f>IF(ISBLANK(Table2[[#This Row],[Received by]]),1,0)</f>
        <v>1</v>
      </c>
      <c r="AF442" s="465">
        <f ca="1">IF(Table2[[#This Row],[Start Date]]&gt;TODAY(),1,)</f>
        <v>1</v>
      </c>
      <c r="AG442" s="465">
        <f>IF(ISBLANK(Table2[[#This Row],[Primary Instructor]]),0,1)</f>
        <v>1</v>
      </c>
      <c r="AH442" s="465">
        <f>IF(ISBLANK(Table2[[#This Row],[Instructor 2]]),0,1)</f>
        <v>0</v>
      </c>
      <c r="AI442" s="465">
        <f>Table2[[#This Row],[Course Length (Hours)]]/(SUM(Table2[[#This Row],[1]:[2]]))</f>
        <v>24</v>
      </c>
      <c r="AJ442" s="465">
        <f ca="1">Table2[[#This Row],[Quotas]]-Table2[[#This Row],[Registered]]</f>
        <v>45</v>
      </c>
      <c r="AK442" s="467">
        <v>4</v>
      </c>
    </row>
    <row r="443" spans="1:37" s="408" customFormat="1" x14ac:dyDescent="0.25">
      <c r="A443" s="462"/>
      <c r="B443" s="426" t="s">
        <v>35</v>
      </c>
      <c r="C443" s="463" t="str">
        <f>VLOOKUP(Table2[[#This Row],[Course Title]],'TSD-Data'!$A$1:$E$56,2,FALSE)</f>
        <v>A-493-2501</v>
      </c>
      <c r="D443" s="463" t="str">
        <f>VLOOKUP(Table2[[#This Row],[Course Title]],'TSD-Data'!$A$1:$E$56,3,FALSE)</f>
        <v>05ZE</v>
      </c>
      <c r="E443" s="426" t="s">
        <v>172</v>
      </c>
      <c r="F443" s="428">
        <v>45874</v>
      </c>
      <c r="G443" s="428">
        <v>45874</v>
      </c>
      <c r="H443" s="464">
        <v>0.33333333333333331</v>
      </c>
      <c r="I443" s="464"/>
      <c r="J443" s="464"/>
      <c r="K443" s="464"/>
      <c r="L443" s="464"/>
      <c r="M443" s="464"/>
      <c r="N443" s="464"/>
      <c r="O443" s="462" t="s">
        <v>280</v>
      </c>
      <c r="P443" s="462"/>
      <c r="Q443" s="365"/>
      <c r="R443" s="465">
        <f>VLOOKUP(Table2[[#This Row],[Course Title]],'TSD-Data'!$A$1:$E$56,4,FALSE)</f>
        <v>30</v>
      </c>
      <c r="S443" s="465">
        <f>VLOOKUP(Table2[[#This Row],[Course Title]],'TSD-Data'!$A$1:$F$53,6,FALSE)</f>
        <v>8</v>
      </c>
      <c r="T443" s="465">
        <f>VLOOKUP(Table2[[#This Row],[Course Title]],'TSD-Data'!$A$1:$E$56,5,FALSE)</f>
        <v>1</v>
      </c>
      <c r="U443" s="465">
        <v>38</v>
      </c>
      <c r="V443" s="465">
        <f>Table2[[#This Row],[Quotas]]-Table2[[#This Row],[Open Quotas]]</f>
        <v>5</v>
      </c>
      <c r="W443" s="465"/>
      <c r="X443" s="465"/>
      <c r="Y443" s="466"/>
      <c r="Z443" s="465"/>
      <c r="AA443" s="465"/>
      <c r="AB443" s="463"/>
      <c r="AC443" s="465"/>
      <c r="AD443" s="466">
        <f ca="1">Table2[[#This Row],[End Date]]+2-TODAY()</f>
        <v>99</v>
      </c>
      <c r="AE443" s="465">
        <f>IF(ISBLANK(Table2[[#This Row],[Received by]]),1,0)</f>
        <v>1</v>
      </c>
      <c r="AF443" s="465">
        <f ca="1">IF(Table2[[#This Row],[Start Date]]&gt;TODAY(),1,)</f>
        <v>1</v>
      </c>
      <c r="AG443" s="465">
        <f>IF(ISBLANK(Table2[[#This Row],[Primary Instructor]]),0,1)</f>
        <v>1</v>
      </c>
      <c r="AH443" s="465">
        <f>IF(ISBLANK(Table2[[#This Row],[Instructor 2]]),0,1)</f>
        <v>0</v>
      </c>
      <c r="AI443" s="465">
        <f>Table2[[#This Row],[Course Length (Hours)]]/(SUM(Table2[[#This Row],[1]:[2]]))</f>
        <v>8</v>
      </c>
      <c r="AJ443" s="465">
        <v>25</v>
      </c>
      <c r="AK443" s="467">
        <v>4</v>
      </c>
    </row>
    <row r="444" spans="1:37" s="408" customFormat="1" x14ac:dyDescent="0.25">
      <c r="A444" s="426"/>
      <c r="B444" s="426" t="s">
        <v>33</v>
      </c>
      <c r="C444" s="463" t="str">
        <f>VLOOKUP(Table2[[#This Row],[Course Title]],'TSD-Data'!$A$1:$E$56,2,FALSE)</f>
        <v>A-493-2301</v>
      </c>
      <c r="D444" s="463" t="str">
        <f>VLOOKUP(Table2[[#This Row],[Course Title]],'TSD-Data'!$A$1:$E$56,3,FALSE)</f>
        <v>05ZD</v>
      </c>
      <c r="E444" s="426" t="s">
        <v>175</v>
      </c>
      <c r="F444" s="428">
        <v>45875</v>
      </c>
      <c r="G444" s="428">
        <v>45875</v>
      </c>
      <c r="H444" s="464">
        <v>0.33333333333333331</v>
      </c>
      <c r="I444" s="464"/>
      <c r="J444" s="464"/>
      <c r="K444" s="464"/>
      <c r="L444" s="464"/>
      <c r="M444" s="464"/>
      <c r="N444" s="464"/>
      <c r="O444" s="462" t="s">
        <v>280</v>
      </c>
      <c r="P444" s="462"/>
      <c r="Q444" s="365"/>
      <c r="R444" s="465">
        <f>VLOOKUP(Table2[[#This Row],[Course Title]],'TSD-Data'!$A$1:$E$56,4,FALSE)</f>
        <v>30</v>
      </c>
      <c r="S444" s="465">
        <f>VLOOKUP(Table2[[#This Row],[Course Title]],'TSD-Data'!$A$1:$F$53,6,FALSE)</f>
        <v>8</v>
      </c>
      <c r="T444" s="465">
        <f>VLOOKUP(Table2[[#This Row],[Course Title]],'TSD-Data'!$A$1:$E$56,5,FALSE)</f>
        <v>1</v>
      </c>
      <c r="U444" s="465">
        <v>52</v>
      </c>
      <c r="V444" s="465">
        <f ca="1">Table2[[#This Row],[Quotas]]-Table2[[#This Row],[Open Quotas]]</f>
        <v>0</v>
      </c>
      <c r="W444" s="465"/>
      <c r="X444" s="465"/>
      <c r="Y444" s="466"/>
      <c r="Z444" s="465"/>
      <c r="AA444" s="465"/>
      <c r="AB444" s="463"/>
      <c r="AC444" s="465"/>
      <c r="AD444" s="466">
        <f ca="1">Table2[[#This Row],[End Date]]+2-TODAY()</f>
        <v>100</v>
      </c>
      <c r="AE444" s="465">
        <f>IF(ISBLANK(Table2[[#This Row],[Received by]]),1,0)</f>
        <v>1</v>
      </c>
      <c r="AF444" s="465">
        <f ca="1">IF(Table2[[#This Row],[Start Date]]&gt;TODAY(),1,)</f>
        <v>1</v>
      </c>
      <c r="AG444" s="465">
        <f>IF(ISBLANK(Table2[[#This Row],[Primary Instructor]]),0,1)</f>
        <v>1</v>
      </c>
      <c r="AH444" s="465">
        <f>IF(ISBLANK(Table2[[#This Row],[Instructor 2]]),0,1)</f>
        <v>0</v>
      </c>
      <c r="AI444" s="465">
        <f>Table2[[#This Row],[Course Length (Hours)]]/(SUM(Table2[[#This Row],[1]:[2]]))</f>
        <v>8</v>
      </c>
      <c r="AJ444" s="465">
        <f ca="1">Table2[[#This Row],[Quotas]]-Table2[[#This Row],[Registered]]</f>
        <v>30</v>
      </c>
      <c r="AK444" s="467">
        <v>4</v>
      </c>
    </row>
    <row r="445" spans="1:37" s="408" customFormat="1" x14ac:dyDescent="0.25">
      <c r="A445" s="462"/>
      <c r="B445" s="426" t="s">
        <v>31</v>
      </c>
      <c r="C445" s="463" t="str">
        <f>VLOOKUP(Table2[[#This Row],[Course Title]],'TSD-Data'!$A$1:$E$56,2,FALSE)</f>
        <v>A-493-0083</v>
      </c>
      <c r="D445" s="463" t="str">
        <f>VLOOKUP(Table2[[#This Row],[Course Title]],'TSD-Data'!$A$1:$E$56,3,FALSE)</f>
        <v>339E</v>
      </c>
      <c r="E445" s="426" t="s">
        <v>199</v>
      </c>
      <c r="F445" s="428">
        <v>45876</v>
      </c>
      <c r="G445" s="428">
        <v>45876</v>
      </c>
      <c r="H445" s="464">
        <v>0.33333333333333331</v>
      </c>
      <c r="I445" s="464"/>
      <c r="J445" s="464"/>
      <c r="K445" s="464"/>
      <c r="L445" s="464"/>
      <c r="M445" s="464"/>
      <c r="N445" s="464"/>
      <c r="O445" s="462" t="s">
        <v>280</v>
      </c>
      <c r="P445" s="462"/>
      <c r="Q445" s="365"/>
      <c r="R445" s="465">
        <f>VLOOKUP(Table2[[#This Row],[Course Title]],'TSD-Data'!$A$1:$E$56,4,FALSE)</f>
        <v>30</v>
      </c>
      <c r="S445" s="465">
        <f>VLOOKUP(Table2[[#This Row],[Course Title]],'TSD-Data'!$A$1:$F$53,6,FALSE)</f>
        <v>8</v>
      </c>
      <c r="T445" s="465">
        <f>VLOOKUP(Table2[[#This Row],[Course Title]],'TSD-Data'!$A$1:$E$56,5,FALSE)</f>
        <v>1</v>
      </c>
      <c r="U445" s="465">
        <v>143</v>
      </c>
      <c r="V445" s="465">
        <f ca="1">Table2[[#This Row],[Quotas]]-Table2[[#This Row],[Open Quotas]]</f>
        <v>0</v>
      </c>
      <c r="W445" s="465"/>
      <c r="X445" s="465"/>
      <c r="Y445" s="466"/>
      <c r="Z445" s="465"/>
      <c r="AA445" s="465"/>
      <c r="AB445" s="463"/>
      <c r="AC445" s="465"/>
      <c r="AD445" s="466">
        <f ca="1">Table2[[#This Row],[End Date]]+2-TODAY()</f>
        <v>101</v>
      </c>
      <c r="AE445" s="465">
        <f>IF(ISBLANK(Table2[[#This Row],[Received by]]),1,0)</f>
        <v>1</v>
      </c>
      <c r="AF445" s="465">
        <f ca="1">IF(Table2[[#This Row],[Start Date]]&gt;TODAY(),1,)</f>
        <v>1</v>
      </c>
      <c r="AG445" s="465">
        <f>IF(ISBLANK(Table2[[#This Row],[Primary Instructor]]),0,1)</f>
        <v>1</v>
      </c>
      <c r="AH445" s="465">
        <f>IF(ISBLANK(Table2[[#This Row],[Instructor 2]]),0,1)</f>
        <v>0</v>
      </c>
      <c r="AI445" s="465">
        <f>Table2[[#This Row],[Course Length (Hours)]]/(SUM(Table2[[#This Row],[1]:[2]]))</f>
        <v>8</v>
      </c>
      <c r="AJ445" s="465">
        <f ca="1">Table2[[#This Row],[Quotas]]-Table2[[#This Row],[Registered]]</f>
        <v>30</v>
      </c>
      <c r="AK445" s="467">
        <v>4</v>
      </c>
    </row>
    <row r="446" spans="1:37" s="408" customFormat="1" x14ac:dyDescent="0.25">
      <c r="A446" s="462"/>
      <c r="B446" s="426" t="s">
        <v>35</v>
      </c>
      <c r="C446" s="463" t="str">
        <f>VLOOKUP(Table2[[#This Row],[Course Title]],'TSD-Data'!$A$1:$E$56,2,FALSE)</f>
        <v>A-493-2501</v>
      </c>
      <c r="D446" s="463" t="str">
        <f>VLOOKUP(Table2[[#This Row],[Course Title]],'TSD-Data'!$A$1:$E$56,3,FALSE)</f>
        <v>05ZE</v>
      </c>
      <c r="E446" s="426" t="s">
        <v>175</v>
      </c>
      <c r="F446" s="428">
        <v>45876</v>
      </c>
      <c r="G446" s="428">
        <v>45876</v>
      </c>
      <c r="H446" s="464">
        <v>0.33333333333333331</v>
      </c>
      <c r="I446" s="464"/>
      <c r="J446" s="464"/>
      <c r="K446" s="464"/>
      <c r="L446" s="464"/>
      <c r="M446" s="464"/>
      <c r="N446" s="464"/>
      <c r="O446" s="462" t="s">
        <v>280</v>
      </c>
      <c r="P446" s="462"/>
      <c r="Q446" s="365"/>
      <c r="R446" s="465">
        <f>VLOOKUP(Table2[[#This Row],[Course Title]],'TSD-Data'!$A$1:$E$56,4,FALSE)</f>
        <v>30</v>
      </c>
      <c r="S446" s="465">
        <f>VLOOKUP(Table2[[#This Row],[Course Title]],'TSD-Data'!$A$1:$F$53,6,FALSE)</f>
        <v>8</v>
      </c>
      <c r="T446" s="465">
        <f>VLOOKUP(Table2[[#This Row],[Course Title]],'TSD-Data'!$A$1:$E$56,5,FALSE)</f>
        <v>1</v>
      </c>
      <c r="U446" s="465">
        <v>51</v>
      </c>
      <c r="V446" s="465">
        <f ca="1">Table2[[#This Row],[Quotas]]-Table2[[#This Row],[Open Quotas]]</f>
        <v>0</v>
      </c>
      <c r="W446" s="465"/>
      <c r="X446" s="465"/>
      <c r="Y446" s="466"/>
      <c r="Z446" s="465"/>
      <c r="AA446" s="465"/>
      <c r="AB446" s="463"/>
      <c r="AC446" s="465"/>
      <c r="AD446" s="466">
        <f ca="1">Table2[[#This Row],[End Date]]+2-TODAY()</f>
        <v>101</v>
      </c>
      <c r="AE446" s="465">
        <f>IF(ISBLANK(Table2[[#This Row],[Received by]]),1,0)</f>
        <v>1</v>
      </c>
      <c r="AF446" s="465">
        <f ca="1">IF(Table2[[#This Row],[Start Date]]&gt;TODAY(),1,)</f>
        <v>1</v>
      </c>
      <c r="AG446" s="465">
        <f>IF(ISBLANK(Table2[[#This Row],[Primary Instructor]]),0,1)</f>
        <v>1</v>
      </c>
      <c r="AH446" s="465">
        <f>IF(ISBLANK(Table2[[#This Row],[Instructor 2]]),0,1)</f>
        <v>0</v>
      </c>
      <c r="AI446" s="465">
        <f>Table2[[#This Row],[Course Length (Hours)]]/(SUM(Table2[[#This Row],[1]:[2]]))</f>
        <v>8</v>
      </c>
      <c r="AJ446" s="465">
        <f ca="1">Table2[[#This Row],[Quotas]]-Table2[[#This Row],[Registered]]</f>
        <v>30</v>
      </c>
      <c r="AK446" s="467">
        <v>4</v>
      </c>
    </row>
    <row r="447" spans="1:37" s="408" customFormat="1" x14ac:dyDescent="0.25">
      <c r="A447" s="462"/>
      <c r="B447" s="426" t="s">
        <v>46</v>
      </c>
      <c r="C447" s="463" t="str">
        <f>VLOOKUP(Table2[[#This Row],[Course Title]],'TSD-Data'!$A$1:$E$56,2,FALSE)</f>
        <v>A-493-0070</v>
      </c>
      <c r="D447" s="463" t="str">
        <f>VLOOKUP(Table2[[#This Row],[Course Title]],'TSD-Data'!$A$1:$E$56,3,FALSE)</f>
        <v>450V</v>
      </c>
      <c r="E447" s="426" t="s">
        <v>86</v>
      </c>
      <c r="F447" s="451">
        <v>45880</v>
      </c>
      <c r="G447" s="451">
        <v>45881</v>
      </c>
      <c r="H447" s="451"/>
      <c r="I447" s="469">
        <v>0.25</v>
      </c>
      <c r="J447" s="464">
        <v>0.125</v>
      </c>
      <c r="K447" s="464">
        <v>0.54166666666666663</v>
      </c>
      <c r="L447" s="464">
        <v>0.5</v>
      </c>
      <c r="M447" s="464">
        <v>0</v>
      </c>
      <c r="N447" s="464">
        <v>0.79166666666666663</v>
      </c>
      <c r="O447" s="462" t="s">
        <v>316</v>
      </c>
      <c r="P447" s="462"/>
      <c r="Q447" s="365"/>
      <c r="R447" s="465">
        <f>VLOOKUP(Table2[[#This Row],[Course Title]],'TSD-Data'!$A$1:$E$56,4,FALSE)</f>
        <v>30</v>
      </c>
      <c r="S447" s="465">
        <f>VLOOKUP(Table2[[#This Row],[Course Title]],'TSD-Data'!$A$1:$F$53,6,FALSE)</f>
        <v>8</v>
      </c>
      <c r="T447" s="465">
        <f>VLOOKUP(Table2[[#This Row],[Course Title]],'TSD-Data'!$A$1:$E$56,5,FALSE)</f>
        <v>1</v>
      </c>
      <c r="U447" s="465">
        <v>0</v>
      </c>
      <c r="V447" s="465">
        <f>Table2[[#This Row],[Quotas]]-Table2[[#This Row],[Open Quotas]]</f>
        <v>2</v>
      </c>
      <c r="W447" s="465"/>
      <c r="X447" s="465"/>
      <c r="Y447" s="466"/>
      <c r="Z447" s="465"/>
      <c r="AA447" s="465"/>
      <c r="AB447" s="465"/>
      <c r="AC447" s="465"/>
      <c r="AD447" s="466">
        <f ca="1">Table2[[#This Row],[End Date]]+2-TODAY()</f>
        <v>106</v>
      </c>
      <c r="AE447" s="465">
        <f>IF(ISBLANK(Table2[[#This Row],[Received by]]),1,0)</f>
        <v>1</v>
      </c>
      <c r="AF447" s="465">
        <f ca="1">IF(Table2[[#This Row],[Start Date]]&gt;TODAY(),1,)</f>
        <v>1</v>
      </c>
      <c r="AG447" s="465">
        <f>IF(ISBLANK(Table2[[#This Row],[Primary Instructor]]),0,1)</f>
        <v>1</v>
      </c>
      <c r="AH447" s="465">
        <f>IF(ISBLANK(Table2[[#This Row],[Instructor 2]]),0,1)</f>
        <v>0</v>
      </c>
      <c r="AI447" s="465">
        <f>Table2[[#This Row],[Course Length (Hours)]]/(SUM(Table2[[#This Row],[1]:[2]]))</f>
        <v>8</v>
      </c>
      <c r="AJ447" s="465">
        <v>28</v>
      </c>
      <c r="AK447" s="467">
        <v>4</v>
      </c>
    </row>
    <row r="448" spans="1:37" s="408" customFormat="1" x14ac:dyDescent="0.25">
      <c r="A448" s="462"/>
      <c r="B448" s="426" t="s">
        <v>37</v>
      </c>
      <c r="C448" s="463" t="str">
        <f>VLOOKUP(Table2[[#This Row],[Course Title]],'TSD-Data'!$A$1:$E$56,2,FALSE)</f>
        <v>A-493-0665</v>
      </c>
      <c r="D448" s="463" t="str">
        <f>VLOOKUP(Table2[[#This Row],[Course Title]],'TSD-Data'!$A$1:$E$56,3,FALSE)</f>
        <v>10KW</v>
      </c>
      <c r="E448" s="426" t="s">
        <v>86</v>
      </c>
      <c r="F448" s="428">
        <v>45880</v>
      </c>
      <c r="G448" s="428">
        <v>45882</v>
      </c>
      <c r="H448" s="464"/>
      <c r="I448" s="464">
        <v>0.33333333333333331</v>
      </c>
      <c r="J448" s="464">
        <v>0.20833333333333334</v>
      </c>
      <c r="K448" s="464">
        <v>0.625</v>
      </c>
      <c r="L448" s="464">
        <v>0.54166666666666663</v>
      </c>
      <c r="M448" s="464">
        <v>8.3333333333333329E-2</v>
      </c>
      <c r="N448" s="464">
        <v>0.875</v>
      </c>
      <c r="O448" s="462" t="s">
        <v>286</v>
      </c>
      <c r="P448" s="462"/>
      <c r="Q448" s="365"/>
      <c r="R448" s="465">
        <f>VLOOKUP(Table2[[#This Row],[Course Title]],'TSD-Data'!$A$1:$E$56,4,FALSE)</f>
        <v>45</v>
      </c>
      <c r="S448" s="465">
        <f>VLOOKUP(Table2[[#This Row],[Course Title]],'TSD-Data'!$A$1:$F$53,6,FALSE)</f>
        <v>24</v>
      </c>
      <c r="T448" s="465">
        <f>VLOOKUP(Table2[[#This Row],[Course Title]],'TSD-Data'!$A$1:$E$56,5,FALSE)</f>
        <v>3</v>
      </c>
      <c r="U448" s="465">
        <v>172</v>
      </c>
      <c r="V448" s="465">
        <f>Table2[[#This Row],[Quotas]]-Table2[[#This Row],[Open Quotas]]</f>
        <v>0</v>
      </c>
      <c r="W448" s="465"/>
      <c r="X448" s="466"/>
      <c r="Y448" s="466"/>
      <c r="Z448" s="465"/>
      <c r="AA448" s="465"/>
      <c r="AB448" s="463"/>
      <c r="AC448" s="465"/>
      <c r="AD448" s="466">
        <f ca="1">Table2[[#This Row],[End Date]]+2-TODAY()</f>
        <v>107</v>
      </c>
      <c r="AE448" s="465">
        <f>IF(ISBLANK(Table2[[#This Row],[Received by]]),1,0)</f>
        <v>1</v>
      </c>
      <c r="AF448" s="465">
        <f ca="1">IF(Table2[[#This Row],[Start Date]]&gt;TODAY(),1,)</f>
        <v>1</v>
      </c>
      <c r="AG448" s="465">
        <f>IF(ISBLANK(Table2[[#This Row],[Primary Instructor]]),0,1)</f>
        <v>1</v>
      </c>
      <c r="AH448" s="465">
        <f>IF(ISBLANK(Table2[[#This Row],[Instructor 2]]),0,1)</f>
        <v>0</v>
      </c>
      <c r="AI448" s="465">
        <f>Table2[[#This Row],[Course Length (Hours)]]/(SUM(Table2[[#This Row],[1]:[2]]))</f>
        <v>24</v>
      </c>
      <c r="AJ448" s="465">
        <v>45</v>
      </c>
      <c r="AK448" s="467">
        <v>4</v>
      </c>
    </row>
    <row r="449" spans="1:37" s="408" customFormat="1" x14ac:dyDescent="0.25">
      <c r="A449" s="426"/>
      <c r="B449" s="426" t="s">
        <v>48</v>
      </c>
      <c r="C449" s="463" t="str">
        <f>VLOOKUP(Table2[[#This Row],[Course Title]],'TSD-Data'!$A$1:$E$56,2,FALSE)</f>
        <v>A-760-2166</v>
      </c>
      <c r="D449" s="463" t="str">
        <f>VLOOKUP(Table2[[#This Row],[Course Title]],'TSD-Data'!$A$1:$E$56,3,FALSE)</f>
        <v>438J</v>
      </c>
      <c r="E449" s="426" t="s">
        <v>164</v>
      </c>
      <c r="F449" s="428">
        <v>45880</v>
      </c>
      <c r="G449" s="428">
        <v>45881</v>
      </c>
      <c r="H449" s="464">
        <v>0.33333333333333331</v>
      </c>
      <c r="I449" s="468"/>
      <c r="J449" s="428"/>
      <c r="K449" s="428"/>
      <c r="L449" s="428"/>
      <c r="M449" s="428"/>
      <c r="N449" s="428"/>
      <c r="O449" s="462" t="s">
        <v>316</v>
      </c>
      <c r="P449" s="462"/>
      <c r="Q449" s="365"/>
      <c r="R449" s="466">
        <f>VLOOKUP(Table2[[#This Row],[Course Title]],'TSD-Data'!$A$1:$E$56,4,FALSE)</f>
        <v>25</v>
      </c>
      <c r="S449" s="465">
        <f>VLOOKUP(Table2[[#This Row],[Course Title]],'TSD-Data'!$A$1:$F$53,6,FALSE)</f>
        <v>16</v>
      </c>
      <c r="T449" s="470">
        <f>VLOOKUP(Table2[[#This Row],[Course Title]],'TSD-Data'!$A$1:$E$56,5,FALSE)</f>
        <v>2</v>
      </c>
      <c r="U449" s="470">
        <v>0</v>
      </c>
      <c r="V449" s="470">
        <f ca="1">Table2[[#This Row],[Quotas]]-Table2[[#This Row],[Open Quotas]]</f>
        <v>0</v>
      </c>
      <c r="W449" s="470"/>
      <c r="X449" s="466"/>
      <c r="Y449" s="466"/>
      <c r="Z449" s="465"/>
      <c r="AA449" s="465"/>
      <c r="AB449" s="463"/>
      <c r="AC449" s="465"/>
      <c r="AD449" s="466">
        <f ca="1">Table2[[#This Row],[End Date]]+2-TODAY()</f>
        <v>106</v>
      </c>
      <c r="AE449" s="465">
        <f>IF(ISBLANK(Table2[[#This Row],[Received by]]),1,0)</f>
        <v>1</v>
      </c>
      <c r="AF449" s="465">
        <f ca="1">IF(Table2[[#This Row],[Start Date]]&gt;TODAY(),1,)</f>
        <v>1</v>
      </c>
      <c r="AG449" s="465">
        <f>IF(ISBLANK(Table2[[#This Row],[Primary Instructor]]),0,1)</f>
        <v>1</v>
      </c>
      <c r="AH449" s="465">
        <f>IF(ISBLANK(Table2[[#This Row],[Instructor 2]]),0,1)</f>
        <v>0</v>
      </c>
      <c r="AI449" s="465">
        <f>Table2[[#This Row],[Course Length (Hours)]]/(SUM(Table2[[#This Row],[1]:[2]]))</f>
        <v>16</v>
      </c>
      <c r="AJ449" s="465">
        <f ca="1">Table2[[#This Row],[Quotas]]-Table2[[#This Row],[Registered]]</f>
        <v>25</v>
      </c>
      <c r="AK449" s="467">
        <v>4</v>
      </c>
    </row>
    <row r="450" spans="1:37" s="408" customFormat="1" x14ac:dyDescent="0.25">
      <c r="A450" s="462" t="s">
        <v>357</v>
      </c>
      <c r="B450" s="426" t="s">
        <v>17</v>
      </c>
      <c r="C450" s="463" t="str">
        <f>VLOOKUP(Table2[[#This Row],[Course Title]],'TSD-Data'!$A$1:$E$56,2,FALSE)</f>
        <v>A-493-0012</v>
      </c>
      <c r="D450" s="463">
        <f>VLOOKUP(Table2[[#This Row],[Course Title]],'TSD-Data'!$A$1:$E$56,3,FALSE)</f>
        <v>3682</v>
      </c>
      <c r="E450" s="426" t="s">
        <v>176</v>
      </c>
      <c r="F450" s="428">
        <v>45880</v>
      </c>
      <c r="G450" s="428">
        <v>45884</v>
      </c>
      <c r="H450" s="464">
        <v>0.33333333333333331</v>
      </c>
      <c r="I450" s="464"/>
      <c r="J450" s="464"/>
      <c r="K450" s="464"/>
      <c r="L450" s="464"/>
      <c r="M450" s="464"/>
      <c r="N450" s="428"/>
      <c r="O450" s="462" t="s">
        <v>289</v>
      </c>
      <c r="P450" s="462"/>
      <c r="Q450" s="365"/>
      <c r="R450" s="465">
        <f>VLOOKUP(Table2[[#This Row],[Course Title]],'TSD-Data'!$A$1:$E$56,4,FALSE)</f>
        <v>40</v>
      </c>
      <c r="S450" s="465">
        <f>VLOOKUP(Table2[[#This Row],[Course Title]],'TSD-Data'!$A$1:$F$53,6,FALSE)</f>
        <v>40</v>
      </c>
      <c r="T450" s="465">
        <f>VLOOKUP(Table2[[#This Row],[Course Title]],'TSD-Data'!$A$1:$E$56,5,FALSE)</f>
        <v>5</v>
      </c>
      <c r="U450" s="465">
        <v>0</v>
      </c>
      <c r="V450" s="465">
        <f>Table2[[#This Row],[Quotas]]-Table2[[#This Row],[Open Quotas]]</f>
        <v>2</v>
      </c>
      <c r="W450" s="465"/>
      <c r="X450" s="465"/>
      <c r="Y450" s="466"/>
      <c r="Z450" s="465"/>
      <c r="AA450" s="465"/>
      <c r="AB450" s="463"/>
      <c r="AC450" s="465"/>
      <c r="AD450" s="466">
        <f ca="1">Table2[[#This Row],[End Date]]+2-TODAY()</f>
        <v>109</v>
      </c>
      <c r="AE450" s="465">
        <f>IF(ISBLANK(Table2[[#This Row],[Received by]]),1,0)</f>
        <v>1</v>
      </c>
      <c r="AF450" s="465">
        <f ca="1">IF(Table2[[#This Row],[Start Date]]&gt;TODAY(),1,)</f>
        <v>1</v>
      </c>
      <c r="AG450" s="465">
        <f>IF(ISBLANK(Table2[[#This Row],[Primary Instructor]]),0,1)</f>
        <v>1</v>
      </c>
      <c r="AH450" s="465">
        <f>IF(ISBLANK(Table2[[#This Row],[Instructor 2]]),0,1)</f>
        <v>0</v>
      </c>
      <c r="AI450" s="465">
        <f>Table2[[#This Row],[Course Length (Hours)]]/(SUM(Table2[[#This Row],[1]:[2]]))</f>
        <v>40</v>
      </c>
      <c r="AJ450" s="465">
        <v>38</v>
      </c>
      <c r="AK450" s="467">
        <v>4</v>
      </c>
    </row>
    <row r="451" spans="1:37" s="408" customFormat="1" x14ac:dyDescent="0.25">
      <c r="A451" s="462"/>
      <c r="B451" s="426" t="s">
        <v>32</v>
      </c>
      <c r="C451" s="463" t="str">
        <f>VLOOKUP(Table2[[#This Row],[Course Title]],'TSD-Data'!$A$1:$E$56,2,FALSE)</f>
        <v>A-493-2300</v>
      </c>
      <c r="D451" s="463" t="str">
        <f>VLOOKUP(Table2[[#This Row],[Course Title]],'TSD-Data'!$A$1:$E$56,3,FALSE)</f>
        <v>993F</v>
      </c>
      <c r="E451" s="426" t="s">
        <v>176</v>
      </c>
      <c r="F451" s="428">
        <v>45880</v>
      </c>
      <c r="G451" s="428">
        <v>45881</v>
      </c>
      <c r="H451" s="464">
        <v>0.33333333333333331</v>
      </c>
      <c r="I451" s="464"/>
      <c r="J451" s="464"/>
      <c r="K451" s="464"/>
      <c r="L451" s="464"/>
      <c r="M451" s="464"/>
      <c r="N451" s="464"/>
      <c r="O451" s="462" t="s">
        <v>280</v>
      </c>
      <c r="P451" s="462"/>
      <c r="Q451" s="365"/>
      <c r="R451" s="465">
        <f>VLOOKUP(Table2[[#This Row],[Course Title]],'TSD-Data'!$A$1:$E$56,4,FALSE)</f>
        <v>30</v>
      </c>
      <c r="S451" s="465">
        <f>VLOOKUP(Table2[[#This Row],[Course Title]],'TSD-Data'!$A$1:$F$53,6,FALSE)</f>
        <v>16</v>
      </c>
      <c r="T451" s="465">
        <f>VLOOKUP(Table2[[#This Row],[Course Title]],'TSD-Data'!$A$1:$E$56,5,FALSE)</f>
        <v>2</v>
      </c>
      <c r="U451" s="465">
        <v>30</v>
      </c>
      <c r="V451" s="465">
        <f ca="1">Table2[[#This Row],[Quotas]]-Table2[[#This Row],[Open Quotas]]</f>
        <v>0</v>
      </c>
      <c r="W451" s="465"/>
      <c r="X451" s="465"/>
      <c r="Y451" s="466"/>
      <c r="Z451" s="465"/>
      <c r="AA451" s="465"/>
      <c r="AB451" s="463"/>
      <c r="AC451" s="465"/>
      <c r="AD451" s="466">
        <f ca="1">Table2[[#This Row],[End Date]]+2-TODAY()</f>
        <v>106</v>
      </c>
      <c r="AE451" s="465">
        <f>IF(ISBLANK(Table2[[#This Row],[Received by]]),1,0)</f>
        <v>1</v>
      </c>
      <c r="AF451" s="465">
        <f ca="1">IF(Table2[[#This Row],[Start Date]]&gt;TODAY(),1,)</f>
        <v>1</v>
      </c>
      <c r="AG451" s="465">
        <f>IF(ISBLANK(Table2[[#This Row],[Primary Instructor]]),0,1)</f>
        <v>1</v>
      </c>
      <c r="AH451" s="465">
        <f>IF(ISBLANK(Table2[[#This Row],[Instructor 2]]),0,1)</f>
        <v>0</v>
      </c>
      <c r="AI451" s="465">
        <f>Table2[[#This Row],[Course Length (Hours)]]/(SUM(Table2[[#This Row],[1]:[2]]))</f>
        <v>16</v>
      </c>
      <c r="AJ451" s="465">
        <f ca="1">Table2[[#This Row],[Quotas]]-Table2[[#This Row],[Registered]]</f>
        <v>30</v>
      </c>
      <c r="AK451" s="467">
        <v>4</v>
      </c>
    </row>
    <row r="452" spans="1:37" s="408" customFormat="1" x14ac:dyDescent="0.25">
      <c r="A452" s="462"/>
      <c r="B452" s="426" t="s">
        <v>59</v>
      </c>
      <c r="C452" s="463" t="str">
        <f>VLOOKUP(Table2[[#This Row],[Course Title]],'TSD-Data'!$A$1:$E$56,2,FALSE)</f>
        <v>A-493-0550</v>
      </c>
      <c r="D452" s="463" t="str">
        <f>VLOOKUP(Table2[[#This Row],[Course Title]],'TSD-Data'!$A$1:$E$56,3,FALSE)</f>
        <v>09K5</v>
      </c>
      <c r="E452" s="426" t="s">
        <v>86</v>
      </c>
      <c r="F452" s="428">
        <v>45880</v>
      </c>
      <c r="G452" s="428">
        <v>45883</v>
      </c>
      <c r="H452" s="428"/>
      <c r="I452" s="464">
        <v>0.41666666666666669</v>
      </c>
      <c r="J452" s="469">
        <v>0.29166666666666669</v>
      </c>
      <c r="K452" s="469">
        <v>0.70833333333333337</v>
      </c>
      <c r="L452" s="469">
        <v>0.66666666666666663</v>
      </c>
      <c r="M452" s="469">
        <v>0.16666666666666666</v>
      </c>
      <c r="N452" s="469">
        <v>0.95833333333333337</v>
      </c>
      <c r="O452" s="462" t="s">
        <v>301</v>
      </c>
      <c r="P452" s="462"/>
      <c r="Q452" s="365"/>
      <c r="R452" s="465">
        <f>VLOOKUP(Table2[[#This Row],[Course Title]],'TSD-Data'!$A$1:$E$56,4,FALSE)</f>
        <v>45</v>
      </c>
      <c r="S452" s="465">
        <f>VLOOKUP(Table2[[#This Row],[Course Title]],'TSD-Data'!$A$1:$F$53,6,FALSE)</f>
        <v>32</v>
      </c>
      <c r="T452" s="465">
        <f>VLOOKUP(Table2[[#This Row],[Course Title]],'TSD-Data'!$A$1:$E$56,5,FALSE)</f>
        <v>4</v>
      </c>
      <c r="U452" s="465">
        <v>465</v>
      </c>
      <c r="V452" s="465">
        <f>Table2[[#This Row],[Quotas]]-Table2[[#This Row],[Open Quotas]]</f>
        <v>1</v>
      </c>
      <c r="W452" s="465"/>
      <c r="X452" s="465"/>
      <c r="Y452" s="466"/>
      <c r="Z452" s="465"/>
      <c r="AA452" s="465"/>
      <c r="AB452" s="465"/>
      <c r="AC452" s="465"/>
      <c r="AD452" s="466">
        <f ca="1">Table2[[#This Row],[End Date]]+2-TODAY()</f>
        <v>108</v>
      </c>
      <c r="AE452" s="465">
        <f>IF(ISBLANK(Table2[[#This Row],[Received by]]),1,0)</f>
        <v>1</v>
      </c>
      <c r="AF452" s="465">
        <f ca="1">IF(Table2[[#This Row],[Start Date]]&gt;TODAY(),1,)</f>
        <v>1</v>
      </c>
      <c r="AG452" s="465">
        <f>IF(ISBLANK(Table2[[#This Row],[Primary Instructor]]),0,1)</f>
        <v>1</v>
      </c>
      <c r="AH452" s="465">
        <f>IF(ISBLANK(Table2[[#This Row],[Instructor 2]]),0,1)</f>
        <v>0</v>
      </c>
      <c r="AI452" s="465">
        <f>Table2[[#This Row],[Course Length (Hours)]]/(SUM(Table2[[#This Row],[1]:[2]]))</f>
        <v>32</v>
      </c>
      <c r="AJ452" s="465">
        <v>44</v>
      </c>
      <c r="AK452" s="467">
        <v>4</v>
      </c>
    </row>
    <row r="453" spans="1:37" s="408" customFormat="1" x14ac:dyDescent="0.25">
      <c r="A453" s="462"/>
      <c r="B453" s="426" t="s">
        <v>61</v>
      </c>
      <c r="C453" s="463" t="str">
        <f>VLOOKUP(Table2[[#This Row],[Course Title]],'TSD-Data'!$A$1:$E$56,2,FALSE)</f>
        <v>A-493-0078</v>
      </c>
      <c r="D453" s="463">
        <f>VLOOKUP(Table2[[#This Row],[Course Title]],'TSD-Data'!$A$1:$E$56,3,FALSE)</f>
        <v>1228</v>
      </c>
      <c r="E453" s="426" t="s">
        <v>86</v>
      </c>
      <c r="F453" s="428">
        <v>45880</v>
      </c>
      <c r="G453" s="428">
        <v>45883</v>
      </c>
      <c r="H453" s="464"/>
      <c r="I453" s="464">
        <v>0.41666666666666669</v>
      </c>
      <c r="J453" s="469">
        <v>0.29166666666666669</v>
      </c>
      <c r="K453" s="469">
        <v>0.70833333333333337</v>
      </c>
      <c r="L453" s="469">
        <v>0.66666666666666663</v>
      </c>
      <c r="M453" s="469">
        <v>0.16666666666666666</v>
      </c>
      <c r="N453" s="469">
        <v>0.95833333333333337</v>
      </c>
      <c r="O453" s="462" t="s">
        <v>304</v>
      </c>
      <c r="P453" s="462"/>
      <c r="Q453" s="365"/>
      <c r="R453" s="465">
        <f>VLOOKUP(Table2[[#This Row],[Course Title]],'TSD-Data'!$A$1:$E$56,4,FALSE)</f>
        <v>45</v>
      </c>
      <c r="S453" s="465">
        <f>VLOOKUP(Table2[[#This Row],[Course Title]],'TSD-Data'!$A$1:$F$53,6,FALSE)</f>
        <v>32</v>
      </c>
      <c r="T453" s="465">
        <f>VLOOKUP(Table2[[#This Row],[Course Title]],'TSD-Data'!$A$1:$E$56,5,FALSE)</f>
        <v>4</v>
      </c>
      <c r="U453" s="465">
        <v>446</v>
      </c>
      <c r="V453" s="465">
        <f>Table2[[#This Row],[Quotas]]-Table2[[#This Row],[Open Quotas]]</f>
        <v>3</v>
      </c>
      <c r="W453" s="465"/>
      <c r="X453" s="465"/>
      <c r="Y453" s="466"/>
      <c r="Z453" s="465"/>
      <c r="AA453" s="465"/>
      <c r="AB453" s="465"/>
      <c r="AC453" s="465"/>
      <c r="AD453" s="466">
        <f ca="1">Table2[[#This Row],[End Date]]+2-TODAY()</f>
        <v>108</v>
      </c>
      <c r="AE453" s="465">
        <f>IF(ISBLANK(Table2[[#This Row],[Received by]]),1,0)</f>
        <v>1</v>
      </c>
      <c r="AF453" s="465">
        <f ca="1">IF(Table2[[#This Row],[Start Date]]&gt;TODAY(),1,)</f>
        <v>1</v>
      </c>
      <c r="AG453" s="465">
        <f>IF(ISBLANK(Table2[[#This Row],[Primary Instructor]]),0,1)</f>
        <v>1</v>
      </c>
      <c r="AH453" s="465">
        <f>IF(ISBLANK(Table2[[#This Row],[Instructor 2]]),0,1)</f>
        <v>0</v>
      </c>
      <c r="AI453" s="465">
        <f>Table2[[#This Row],[Course Length (Hours)]]/(SUM(Table2[[#This Row],[1]:[2]]))</f>
        <v>32</v>
      </c>
      <c r="AJ453" s="465">
        <v>42</v>
      </c>
      <c r="AK453" s="467">
        <v>4</v>
      </c>
    </row>
    <row r="454" spans="1:37" s="408" customFormat="1" x14ac:dyDescent="0.25">
      <c r="A454" s="462"/>
      <c r="B454" s="426" t="s">
        <v>52</v>
      </c>
      <c r="C454" s="463" t="str">
        <f>VLOOKUP(Table2[[#This Row],[Course Title]],'TSD-Data'!$A$1:$E$56,2,FALSE)</f>
        <v>A-493-0085</v>
      </c>
      <c r="D454" s="463">
        <f>VLOOKUP(Table2[[#This Row],[Course Title]],'TSD-Data'!$A$1:$E$56,3,FALSE)</f>
        <v>3555</v>
      </c>
      <c r="E454" s="426" t="s">
        <v>86</v>
      </c>
      <c r="F454" s="428">
        <v>45880</v>
      </c>
      <c r="G454" s="428">
        <v>45883</v>
      </c>
      <c r="H454" s="464"/>
      <c r="I454" s="469">
        <v>0.5</v>
      </c>
      <c r="J454" s="469">
        <v>0.375</v>
      </c>
      <c r="K454" s="469">
        <v>0.79166666666666663</v>
      </c>
      <c r="L454" s="469">
        <v>0.75</v>
      </c>
      <c r="M454" s="469">
        <v>0.25</v>
      </c>
      <c r="N454" s="469">
        <v>4.1666666666666664E-2</v>
      </c>
      <c r="O454" s="462" t="s">
        <v>277</v>
      </c>
      <c r="P454" s="462"/>
      <c r="Q454" s="365"/>
      <c r="R454" s="465">
        <f>VLOOKUP(Table2[[#This Row],[Course Title]],'TSD-Data'!$A$1:$E$56,4,FALSE)</f>
        <v>45</v>
      </c>
      <c r="S454" s="465">
        <f>VLOOKUP(Table2[[#This Row],[Course Title]],'TSD-Data'!$A$1:$F$53,6,FALSE)</f>
        <v>32</v>
      </c>
      <c r="T454" s="465">
        <f>VLOOKUP(Table2[[#This Row],[Course Title]],'TSD-Data'!$A$1:$E$56,5,FALSE)</f>
        <v>4</v>
      </c>
      <c r="U454" s="465">
        <v>503</v>
      </c>
      <c r="V454" s="465">
        <f>Table2[[#This Row],[Quotas]]-Table2[[#This Row],[Open Quotas]]</f>
        <v>1</v>
      </c>
      <c r="W454" s="465"/>
      <c r="X454" s="465"/>
      <c r="Y454" s="466"/>
      <c r="Z454" s="465"/>
      <c r="AA454" s="465"/>
      <c r="AB454" s="465"/>
      <c r="AC454" s="465"/>
      <c r="AD454" s="466">
        <f ca="1">Table2[[#This Row],[End Date]]+2-TODAY()</f>
        <v>108</v>
      </c>
      <c r="AE454" s="465">
        <f>IF(ISBLANK(Table2[[#This Row],[Received by]]),1,0)</f>
        <v>1</v>
      </c>
      <c r="AF454" s="465">
        <f ca="1">IF(Table2[[#This Row],[Start Date]]&gt;TODAY(),1,)</f>
        <v>1</v>
      </c>
      <c r="AG454" s="465">
        <f>IF(ISBLANK(Table2[[#This Row],[Primary Instructor]]),0,1)</f>
        <v>1</v>
      </c>
      <c r="AH454" s="465">
        <f>IF(ISBLANK(Table2[[#This Row],[Instructor 2]]),0,1)</f>
        <v>0</v>
      </c>
      <c r="AI454" s="465">
        <f>Table2[[#This Row],[Course Length (Hours)]]/(SUM(Table2[[#This Row],[1]:[2]]))</f>
        <v>32</v>
      </c>
      <c r="AJ454" s="465">
        <v>44</v>
      </c>
      <c r="AK454" s="467">
        <v>4</v>
      </c>
    </row>
    <row r="455" spans="1:37" s="408" customFormat="1" x14ac:dyDescent="0.25">
      <c r="A455" s="463"/>
      <c r="B455" s="426" t="s">
        <v>39</v>
      </c>
      <c r="C455" s="463" t="str">
        <f>VLOOKUP(Table2[[#This Row],[Course Title]],'TSD-Data'!$A$1:$E$56,2,FALSE)</f>
        <v>A-570-0100</v>
      </c>
      <c r="D455" s="463" t="str">
        <f>VLOOKUP(Table2[[#This Row],[Course Title]],'TSD-Data'!$A$1:$E$56,3,FALSE)</f>
        <v>18B7</v>
      </c>
      <c r="E455" s="426" t="s">
        <v>86</v>
      </c>
      <c r="F455" s="428">
        <v>45880</v>
      </c>
      <c r="G455" s="428">
        <v>45881</v>
      </c>
      <c r="H455" s="464"/>
      <c r="I455" s="469">
        <v>0.5</v>
      </c>
      <c r="J455" s="469">
        <v>0.375</v>
      </c>
      <c r="K455" s="469">
        <v>0.79166666666666663</v>
      </c>
      <c r="L455" s="469">
        <v>0.75</v>
      </c>
      <c r="M455" s="469">
        <v>0.25</v>
      </c>
      <c r="N455" s="469">
        <v>4.1666666666666664E-2</v>
      </c>
      <c r="O455" s="462" t="s">
        <v>288</v>
      </c>
      <c r="P455" s="462"/>
      <c r="Q455" s="365"/>
      <c r="R455" s="465">
        <f>VLOOKUP(Table2[[#This Row],[Course Title]],'TSD-Data'!$A$1:$E$56,4,FALSE)</f>
        <v>45</v>
      </c>
      <c r="S455" s="465">
        <f>VLOOKUP(Table2[[#This Row],[Course Title]],'TSD-Data'!$A$1:$F$53,6,FALSE)</f>
        <v>16</v>
      </c>
      <c r="T455" s="465">
        <f>VLOOKUP(Table2[[#This Row],[Course Title]],'TSD-Data'!$A$1:$E$56,5,FALSE)</f>
        <v>2</v>
      </c>
      <c r="U455" s="465">
        <v>621</v>
      </c>
      <c r="V455" s="465">
        <f>Table2[[#This Row],[Quotas]]-Table2[[#This Row],[Open Quotas]]</f>
        <v>6</v>
      </c>
      <c r="W455" s="465"/>
      <c r="X455" s="470"/>
      <c r="Y455" s="470"/>
      <c r="Z455" s="463"/>
      <c r="AA455" s="463"/>
      <c r="AB455" s="470"/>
      <c r="AC455" s="465"/>
      <c r="AD455" s="466">
        <f ca="1">Table2[[#This Row],[End Date]]+2-TODAY()</f>
        <v>106</v>
      </c>
      <c r="AE455" s="465">
        <f>IF(ISBLANK(Table2[[#This Row],[Received by]]),1,0)</f>
        <v>1</v>
      </c>
      <c r="AF455" s="465">
        <f ca="1">IF(Table2[[#This Row],[Start Date]]&gt;TODAY(),1,)</f>
        <v>1</v>
      </c>
      <c r="AG455" s="465">
        <f>IF(ISBLANK(Table2[[#This Row],[Primary Instructor]]),0,1)</f>
        <v>1</v>
      </c>
      <c r="AH455" s="465">
        <f>IF(ISBLANK(Table2[[#This Row],[Instructor 2]]),0,1)</f>
        <v>0</v>
      </c>
      <c r="AI455" s="465">
        <f>Table2[[#This Row],[Course Length (Hours)]]/(SUM(Table2[[#This Row],[1]:[2]]))</f>
        <v>16</v>
      </c>
      <c r="AJ455" s="465">
        <v>39</v>
      </c>
      <c r="AK455" s="467">
        <v>4</v>
      </c>
    </row>
    <row r="456" spans="1:37" s="408" customFormat="1" x14ac:dyDescent="0.25">
      <c r="A456" s="463"/>
      <c r="B456" s="426" t="s">
        <v>54</v>
      </c>
      <c r="C456" s="463" t="str">
        <f>VLOOKUP(Table2[[#This Row],[Course Title]],'TSD-Data'!$A$1:$E$56,2,FALSE)</f>
        <v>F-4J-0023</v>
      </c>
      <c r="D456" s="463" t="str">
        <f>VLOOKUP(Table2[[#This Row],[Course Title]],'TSD-Data'!$A$1:$E$56,3,FALSE)</f>
        <v>11A2</v>
      </c>
      <c r="E456" s="426" t="s">
        <v>86</v>
      </c>
      <c r="F456" s="428">
        <v>45880</v>
      </c>
      <c r="G456" s="428">
        <v>45881</v>
      </c>
      <c r="H456" s="464"/>
      <c r="I456" s="469">
        <v>0.5</v>
      </c>
      <c r="J456" s="469">
        <v>0.375</v>
      </c>
      <c r="K456" s="469">
        <v>0.79166666666666663</v>
      </c>
      <c r="L456" s="469">
        <v>0.75</v>
      </c>
      <c r="M456" s="469">
        <v>0.25</v>
      </c>
      <c r="N456" s="469">
        <v>4.1666666666666664E-2</v>
      </c>
      <c r="O456" s="462" t="s">
        <v>282</v>
      </c>
      <c r="P456" s="462"/>
      <c r="Q456" s="365"/>
      <c r="R456" s="465">
        <f>VLOOKUP(Table2[[#This Row],[Course Title]],'TSD-Data'!$A$1:$E$56,4,FALSE)</f>
        <v>45</v>
      </c>
      <c r="S456" s="465">
        <f>VLOOKUP(Table2[[#This Row],[Course Title]],'TSD-Data'!$A$1:$F$53,6,FALSE)</f>
        <v>16</v>
      </c>
      <c r="T456" s="465">
        <f>VLOOKUP(Table2[[#This Row],[Course Title]],'TSD-Data'!$A$1:$E$56,5,FALSE)</f>
        <v>2</v>
      </c>
      <c r="U456" s="465">
        <v>70</v>
      </c>
      <c r="V456" s="465">
        <f>Table2[[#This Row],[Quotas]]-Table2[[#This Row],[Open Quotas]]</f>
        <v>2</v>
      </c>
      <c r="W456" s="465"/>
      <c r="X456" s="470"/>
      <c r="Y456" s="470"/>
      <c r="Z456" s="463"/>
      <c r="AA456" s="463"/>
      <c r="AB456" s="470"/>
      <c r="AC456" s="465"/>
      <c r="AD456" s="466">
        <f ca="1">Table2[[#This Row],[End Date]]+2-TODAY()</f>
        <v>106</v>
      </c>
      <c r="AE456" s="465">
        <f>IF(ISBLANK(Table2[[#This Row],[Received by]]),1,0)</f>
        <v>1</v>
      </c>
      <c r="AF456" s="465">
        <f ca="1">IF(Table2[[#This Row],[Start Date]]&gt;TODAY(),1,)</f>
        <v>1</v>
      </c>
      <c r="AG456" s="465">
        <f>IF(ISBLANK(Table2[[#This Row],[Primary Instructor]]),0,1)</f>
        <v>1</v>
      </c>
      <c r="AH456" s="465">
        <f>IF(ISBLANK(Table2[[#This Row],[Instructor 2]]),0,1)</f>
        <v>0</v>
      </c>
      <c r="AI456" s="465">
        <f>Table2[[#This Row],[Course Length (Hours)]]/(SUM(Table2[[#This Row],[1]:[2]]))</f>
        <v>16</v>
      </c>
      <c r="AJ456" s="465">
        <v>43</v>
      </c>
      <c r="AK456" s="467">
        <v>4</v>
      </c>
    </row>
    <row r="457" spans="1:37" s="408" customFormat="1" x14ac:dyDescent="0.25">
      <c r="A457" s="463"/>
      <c r="B457" s="426" t="s">
        <v>36</v>
      </c>
      <c r="C457" s="463" t="str">
        <f>VLOOKUP(Table2[[#This Row],[Course Title]],'TSD-Data'!$A$1:$E$56,2,FALSE)</f>
        <v>A-493-2017</v>
      </c>
      <c r="D457" s="463" t="str">
        <f>VLOOKUP(Table2[[#This Row],[Course Title]],'TSD-Data'!$A$1:$E$56,3,FALSE)</f>
        <v>12x3</v>
      </c>
      <c r="E457" s="426" t="s">
        <v>198</v>
      </c>
      <c r="F457" s="428">
        <v>45880</v>
      </c>
      <c r="G457" s="428">
        <v>45884</v>
      </c>
      <c r="H457" s="464">
        <v>0.33333333333333331</v>
      </c>
      <c r="I457" s="464"/>
      <c r="J457" s="428"/>
      <c r="K457" s="428"/>
      <c r="L457" s="428"/>
      <c r="M457" s="428"/>
      <c r="N457" s="428"/>
      <c r="O457" s="462" t="s">
        <v>280</v>
      </c>
      <c r="P457" s="462"/>
      <c r="Q457" s="365"/>
      <c r="R457" s="466">
        <f>VLOOKUP(Table2[[#This Row],[Course Title]],'TSD-Data'!$A$1:$E$56,4,FALSE)</f>
        <v>25</v>
      </c>
      <c r="S457" s="465">
        <f>VLOOKUP(Table2[[#This Row],[Course Title]],'TSD-Data'!$A$1:$F$53,6,FALSE)</f>
        <v>40</v>
      </c>
      <c r="T457" s="470">
        <f>VLOOKUP(Table2[[#This Row],[Course Title]],'TSD-Data'!$A$1:$E$56,5,FALSE)</f>
        <v>5</v>
      </c>
      <c r="U457" s="465">
        <v>14</v>
      </c>
      <c r="V457" s="465">
        <f>Table2[[#This Row],[Quotas]]-Table2[[#This Row],[Open Quotas]]</f>
        <v>2</v>
      </c>
      <c r="W457" s="465"/>
      <c r="X457" s="470"/>
      <c r="Y457" s="470"/>
      <c r="Z457" s="463"/>
      <c r="AA457" s="463"/>
      <c r="AB457" s="470"/>
      <c r="AC457" s="465"/>
      <c r="AD457" s="466">
        <f ca="1">Table2[[#This Row],[End Date]]+2-TODAY()</f>
        <v>109</v>
      </c>
      <c r="AE457" s="465">
        <f>IF(ISBLANK(Table2[[#This Row],[Received by]]),1,0)</f>
        <v>1</v>
      </c>
      <c r="AF457" s="465">
        <f ca="1">IF(Table2[[#This Row],[Start Date]]&gt;TODAY(),1,)</f>
        <v>1</v>
      </c>
      <c r="AG457" s="465">
        <f>IF(ISBLANK(Table2[[#This Row],[Primary Instructor]]),0,1)</f>
        <v>1</v>
      </c>
      <c r="AH457" s="465">
        <f>IF(ISBLANK(Table2[[#This Row],[Instructor 2]]),0,1)</f>
        <v>0</v>
      </c>
      <c r="AI457" s="465">
        <f>Table2[[#This Row],[Course Length (Hours)]]/(SUM(Table2[[#This Row],[1]:[2]]))</f>
        <v>40</v>
      </c>
      <c r="AJ457" s="465">
        <v>23</v>
      </c>
      <c r="AK457" s="467">
        <v>4</v>
      </c>
    </row>
    <row r="458" spans="1:37" s="408" customFormat="1" x14ac:dyDescent="0.25">
      <c r="A458" s="462"/>
      <c r="B458" s="426" t="s">
        <v>58</v>
      </c>
      <c r="C458" s="463" t="str">
        <f>VLOOKUP(Table2[[#This Row],[Course Title]],'TSD-Data'!$A$1:$E$56,2,FALSE)</f>
        <v xml:space="preserve">A-493-0075 </v>
      </c>
      <c r="D458" s="463" t="str">
        <f>VLOOKUP(Table2[[#This Row],[Course Title]],'TSD-Data'!$A$1:$E$56,3,FALSE)</f>
        <v>714U</v>
      </c>
      <c r="E458" s="448" t="s">
        <v>212</v>
      </c>
      <c r="F458" s="451">
        <v>45881</v>
      </c>
      <c r="G458" s="428">
        <v>45884</v>
      </c>
      <c r="H458" s="464">
        <v>0.33333333333333331</v>
      </c>
      <c r="I458" s="464"/>
      <c r="J458" s="428"/>
      <c r="K458" s="428"/>
      <c r="L458" s="428"/>
      <c r="M458" s="428"/>
      <c r="N458" s="428"/>
      <c r="O458" s="462" t="s">
        <v>314</v>
      </c>
      <c r="P458" s="462"/>
      <c r="Q458" s="365"/>
      <c r="R458" s="465">
        <f>VLOOKUP(Table2[[#This Row],[Course Title]],'TSD-Data'!$A$1:$E$56,4,FALSE)</f>
        <v>30</v>
      </c>
      <c r="S458" s="465">
        <f>VLOOKUP(Table2[[#This Row],[Course Title]],'TSD-Data'!$A$1:$F$53,6,FALSE)</f>
        <v>32</v>
      </c>
      <c r="T458" s="465">
        <f>VLOOKUP(Table2[[#This Row],[Course Title]],'TSD-Data'!$A$1:$E$56,5,FALSE)</f>
        <v>4</v>
      </c>
      <c r="U458" s="465">
        <v>137</v>
      </c>
      <c r="V458" s="465">
        <f>Table2[[#This Row],[Quotas]]-Table2[[#This Row],[Open Quotas]]</f>
        <v>6</v>
      </c>
      <c r="W458" s="465"/>
      <c r="X458" s="465"/>
      <c r="Y458" s="466"/>
      <c r="Z458" s="465"/>
      <c r="AA458" s="465"/>
      <c r="AB458" s="463"/>
      <c r="AC458" s="465"/>
      <c r="AD458" s="466">
        <f ca="1">Table2[[#This Row],[End Date]]+2-TODAY()</f>
        <v>109</v>
      </c>
      <c r="AE458" s="465">
        <f>IF(ISBLANK(Table2[[#This Row],[Received by]]),1,0)</f>
        <v>1</v>
      </c>
      <c r="AF458" s="465">
        <f ca="1">IF(Table2[[#This Row],[Start Date]]&gt;TODAY(),1,)</f>
        <v>1</v>
      </c>
      <c r="AG458" s="465">
        <f>IF(ISBLANK(Table2[[#This Row],[Primary Instructor]]),0,1)</f>
        <v>1</v>
      </c>
      <c r="AH458" s="465">
        <f>IF(ISBLANK(Table2[[#This Row],[Instructor 2]]),0,1)</f>
        <v>0</v>
      </c>
      <c r="AI458" s="465">
        <f>Table2[[#This Row],[Course Length (Hours)]]/(SUM(Table2[[#This Row],[1]:[2]]))</f>
        <v>32</v>
      </c>
      <c r="AJ458" s="465">
        <v>24</v>
      </c>
      <c r="AK458" s="467">
        <v>4</v>
      </c>
    </row>
    <row r="459" spans="1:37" s="408" customFormat="1" x14ac:dyDescent="0.25">
      <c r="A459" s="462"/>
      <c r="B459" s="426" t="s">
        <v>29</v>
      </c>
      <c r="C459" s="463" t="str">
        <f>VLOOKUP(Table2[[#This Row],[Course Title]],'TSD-Data'!$A$1:$E$56,2,FALSE)</f>
        <v>A-493-0077</v>
      </c>
      <c r="D459" s="463" t="str">
        <f>VLOOKUP(Table2[[#This Row],[Course Title]],'TSD-Data'!$A$1:$E$56,3,FALSE)</f>
        <v>0381</v>
      </c>
      <c r="E459" s="426" t="s">
        <v>188</v>
      </c>
      <c r="F459" s="428">
        <v>45881</v>
      </c>
      <c r="G459" s="428">
        <v>45883</v>
      </c>
      <c r="H459" s="464">
        <v>0.33333333333333331</v>
      </c>
      <c r="I459" s="464"/>
      <c r="J459" s="464"/>
      <c r="K459" s="464"/>
      <c r="L459" s="464"/>
      <c r="M459" s="464"/>
      <c r="N459" s="464"/>
      <c r="O459" s="462" t="s">
        <v>280</v>
      </c>
      <c r="P459" s="462"/>
      <c r="Q459" s="365"/>
      <c r="R459" s="465">
        <f>VLOOKUP(Table2[[#This Row],[Course Title]],'TSD-Data'!$A$1:$E$56,4,FALSE)</f>
        <v>25</v>
      </c>
      <c r="S459" s="465">
        <f>VLOOKUP(Table2[[#This Row],[Course Title]],'TSD-Data'!$A$1:$F$53,6,FALSE)</f>
        <v>24</v>
      </c>
      <c r="T459" s="465">
        <f>VLOOKUP(Table2[[#This Row],[Course Title]],'TSD-Data'!$A$1:$E$56,5,FALSE)</f>
        <v>3</v>
      </c>
      <c r="U459" s="465">
        <v>20</v>
      </c>
      <c r="V459" s="465">
        <f>Table2[[#This Row],[Quotas]]-Table2[[#This Row],[Open Quotas]]</f>
        <v>3</v>
      </c>
      <c r="W459" s="465"/>
      <c r="X459" s="465"/>
      <c r="Y459" s="466"/>
      <c r="Z459" s="465"/>
      <c r="AA459" s="465"/>
      <c r="AB459" s="463"/>
      <c r="AC459" s="465"/>
      <c r="AD459" s="466">
        <f ca="1">Table2[[#This Row],[End Date]]+2-TODAY()</f>
        <v>108</v>
      </c>
      <c r="AE459" s="465">
        <f>IF(ISBLANK(Table2[[#This Row],[Received by]]),1,0)</f>
        <v>1</v>
      </c>
      <c r="AF459" s="465">
        <f ca="1">IF(Table2[[#This Row],[Start Date]]&gt;TODAY(),1,)</f>
        <v>1</v>
      </c>
      <c r="AG459" s="465">
        <f>IF(ISBLANK(Table2[[#This Row],[Primary Instructor]]),0,1)</f>
        <v>1</v>
      </c>
      <c r="AH459" s="465">
        <f>IF(ISBLANK(Table2[[#This Row],[Instructor 2]]),0,1)</f>
        <v>0</v>
      </c>
      <c r="AI459" s="465">
        <f>Table2[[#This Row],[Course Length (Hours)]]/(SUM(Table2[[#This Row],[1]:[2]]))</f>
        <v>24</v>
      </c>
      <c r="AJ459" s="465">
        <v>22</v>
      </c>
      <c r="AK459" s="467">
        <v>4</v>
      </c>
    </row>
    <row r="460" spans="1:37" s="408" customFormat="1" x14ac:dyDescent="0.25">
      <c r="A460" s="462"/>
      <c r="B460" s="426" t="s">
        <v>42</v>
      </c>
      <c r="C460" s="463" t="str">
        <f>VLOOKUP(Table2[[#This Row],[Course Title]],'TSD-Data'!$A$1:$E$56,2,FALSE)</f>
        <v>A-493-0015</v>
      </c>
      <c r="D460" s="463">
        <f>VLOOKUP(Table2[[#This Row],[Course Title]],'TSD-Data'!$A$1:$E$56,3,FALSE)</f>
        <v>3879</v>
      </c>
      <c r="E460" s="426" t="s">
        <v>86</v>
      </c>
      <c r="F460" s="428">
        <v>45882</v>
      </c>
      <c r="G460" s="428">
        <v>45882</v>
      </c>
      <c r="H460" s="428"/>
      <c r="I460" s="464">
        <v>0.79166666666666663</v>
      </c>
      <c r="J460" s="469">
        <v>0.66666666666666663</v>
      </c>
      <c r="K460" s="469">
        <v>8.3333333333333329E-2</v>
      </c>
      <c r="L460" s="469">
        <v>0</v>
      </c>
      <c r="M460" s="469">
        <v>0.54166666666666663</v>
      </c>
      <c r="N460" s="469">
        <v>0.33333333333333331</v>
      </c>
      <c r="O460" s="462" t="s">
        <v>316</v>
      </c>
      <c r="P460" s="462"/>
      <c r="Q460" s="365"/>
      <c r="R460" s="465">
        <f>VLOOKUP(Table2[[#This Row],[Course Title]],'TSD-Data'!$A$1:$E$56,4,FALSE)</f>
        <v>30</v>
      </c>
      <c r="S460" s="465">
        <f>VLOOKUP(Table2[[#This Row],[Course Title]],'TSD-Data'!$A$1:$F$53,6,FALSE)</f>
        <v>4</v>
      </c>
      <c r="T460" s="465">
        <f>VLOOKUP(Table2[[#This Row],[Course Title]],'TSD-Data'!$A$1:$E$56,5,FALSE)</f>
        <v>0.5</v>
      </c>
      <c r="U460" s="465">
        <v>0</v>
      </c>
      <c r="V460" s="465">
        <f>Table2[[#This Row],[Quotas]]-Table2[[#This Row],[Open Quotas]]</f>
        <v>1</v>
      </c>
      <c r="W460" s="465"/>
      <c r="X460" s="465"/>
      <c r="Y460" s="466"/>
      <c r="Z460" s="465"/>
      <c r="AA460" s="465"/>
      <c r="AB460" s="465"/>
      <c r="AC460" s="465"/>
      <c r="AD460" s="466">
        <f ca="1">Table2[[#This Row],[End Date]]+2-TODAY()</f>
        <v>107</v>
      </c>
      <c r="AE460" s="465">
        <f>IF(ISBLANK(Table2[[#This Row],[Received by]]),1,0)</f>
        <v>1</v>
      </c>
      <c r="AF460" s="465">
        <f ca="1">IF(Table2[[#This Row],[Start Date]]&gt;TODAY(),1,)</f>
        <v>1</v>
      </c>
      <c r="AG460" s="465">
        <f>IF(ISBLANK(Table2[[#This Row],[Primary Instructor]]),0,1)</f>
        <v>1</v>
      </c>
      <c r="AH460" s="465">
        <f>IF(ISBLANK(Table2[[#This Row],[Instructor 2]]),0,1)</f>
        <v>0</v>
      </c>
      <c r="AI460" s="465">
        <f>Table2[[#This Row],[Course Length (Hours)]]/(SUM(Table2[[#This Row],[1]:[2]]))</f>
        <v>4</v>
      </c>
      <c r="AJ460" s="465">
        <v>29</v>
      </c>
      <c r="AK460" s="467">
        <v>4</v>
      </c>
    </row>
    <row r="461" spans="1:37" s="408" customFormat="1" x14ac:dyDescent="0.25">
      <c r="A461" s="462"/>
      <c r="B461" s="426" t="s">
        <v>49</v>
      </c>
      <c r="C461" s="463" t="str">
        <f>VLOOKUP(Table2[[#This Row],[Course Title]],'TSD-Data'!$A$1:$E$56,2,FALSE)</f>
        <v>A-493-0092</v>
      </c>
      <c r="D461" s="463">
        <f>VLOOKUP(Table2[[#This Row],[Course Title]],'TSD-Data'!$A$1:$E$56,3,FALSE)</f>
        <v>5891</v>
      </c>
      <c r="E461" s="426" t="s">
        <v>219</v>
      </c>
      <c r="F461" s="428">
        <v>45882</v>
      </c>
      <c r="G461" s="428">
        <v>45884</v>
      </c>
      <c r="H461" s="464">
        <v>0.33333333333333331</v>
      </c>
      <c r="I461" s="469"/>
      <c r="J461" s="469"/>
      <c r="K461" s="469"/>
      <c r="L461" s="469"/>
      <c r="M461" s="469"/>
      <c r="N461" s="469"/>
      <c r="O461" s="462" t="s">
        <v>318</v>
      </c>
      <c r="P461" s="462"/>
      <c r="Q461" s="431" t="s">
        <v>286</v>
      </c>
      <c r="R461" s="465">
        <f>VLOOKUP(Table2[[#This Row],[Course Title]],'TSD-Data'!$A$1:$E$56,4,FALSE)</f>
        <v>25</v>
      </c>
      <c r="S461" s="465">
        <f>VLOOKUP(Table2[[#This Row],[Course Title]],'TSD-Data'!$A$1:$F$53,6,FALSE)</f>
        <v>24</v>
      </c>
      <c r="T461" s="465">
        <f>VLOOKUP(Table2[[#This Row],[Course Title]],'TSD-Data'!$A$1:$E$56,5,FALSE)</f>
        <v>3</v>
      </c>
      <c r="U461" s="465">
        <v>14</v>
      </c>
      <c r="V461" s="465">
        <f>Table2[[#This Row],[Quotas]]-Table2[[#This Row],[Open Quotas]]</f>
        <v>8</v>
      </c>
      <c r="W461" s="465"/>
      <c r="X461" s="465"/>
      <c r="Y461" s="466"/>
      <c r="Z461" s="465"/>
      <c r="AA461" s="465"/>
      <c r="AB461" s="466"/>
      <c r="AC461" s="465"/>
      <c r="AD461" s="466">
        <f ca="1">Table2[[#This Row],[End Date]]+2-TODAY()</f>
        <v>109</v>
      </c>
      <c r="AE461" s="465">
        <f>IF(ISBLANK(Table2[[#This Row],[Received by]]),1,0)</f>
        <v>1</v>
      </c>
      <c r="AF461" s="465">
        <f ca="1">IF(Table2[[#This Row],[Start Date]]&gt;TODAY(),1,)</f>
        <v>1</v>
      </c>
      <c r="AG461" s="465">
        <f>IF(ISBLANK(Table2[[#This Row],[Primary Instructor]]),0,1)</f>
        <v>1</v>
      </c>
      <c r="AH461" s="465">
        <f>IF(ISBLANK(Table2[[#This Row],[Instructor 2]]),0,1)</f>
        <v>0</v>
      </c>
      <c r="AI461" s="465">
        <f>Table2[[#This Row],[Course Length (Hours)]]/(SUM(Table2[[#This Row],[1]:[2]]))</f>
        <v>24</v>
      </c>
      <c r="AJ461" s="465">
        <v>17</v>
      </c>
      <c r="AK461" s="467">
        <v>4</v>
      </c>
    </row>
    <row r="462" spans="1:37" s="408" customFormat="1" x14ac:dyDescent="0.25">
      <c r="A462" s="462"/>
      <c r="B462" s="426" t="s">
        <v>35</v>
      </c>
      <c r="C462" s="463" t="str">
        <f>VLOOKUP(Table2[[#This Row],[Course Title]],'TSD-Data'!$A$1:$E$56,2,FALSE)</f>
        <v>A-493-2501</v>
      </c>
      <c r="D462" s="463" t="str">
        <f>VLOOKUP(Table2[[#This Row],[Course Title]],'TSD-Data'!$A$1:$E$56,3,FALSE)</f>
        <v>05ZE</v>
      </c>
      <c r="E462" s="426" t="s">
        <v>176</v>
      </c>
      <c r="F462" s="428">
        <v>45882</v>
      </c>
      <c r="G462" s="428">
        <v>45882</v>
      </c>
      <c r="H462" s="464">
        <v>0.33333333333333331</v>
      </c>
      <c r="I462" s="464"/>
      <c r="J462" s="464"/>
      <c r="K462" s="464"/>
      <c r="L462" s="464"/>
      <c r="M462" s="464"/>
      <c r="N462" s="464"/>
      <c r="O462" s="462" t="s">
        <v>280</v>
      </c>
      <c r="P462" s="462"/>
      <c r="Q462" s="365"/>
      <c r="R462" s="465">
        <f>VLOOKUP(Table2[[#This Row],[Course Title]],'TSD-Data'!$A$1:$E$56,4,FALSE)</f>
        <v>30</v>
      </c>
      <c r="S462" s="465">
        <f>VLOOKUP(Table2[[#This Row],[Course Title]],'TSD-Data'!$A$1:$F$53,6,FALSE)</f>
        <v>8</v>
      </c>
      <c r="T462" s="465">
        <f>VLOOKUP(Table2[[#This Row],[Course Title]],'TSD-Data'!$A$1:$E$56,5,FALSE)</f>
        <v>1</v>
      </c>
      <c r="U462" s="465">
        <v>35</v>
      </c>
      <c r="V462" s="465">
        <f ca="1">Table2[[#This Row],[Quotas]]-Table2[[#This Row],[Open Quotas]]</f>
        <v>0</v>
      </c>
      <c r="W462" s="465"/>
      <c r="X462" s="465"/>
      <c r="Y462" s="466"/>
      <c r="Z462" s="465"/>
      <c r="AA462" s="465"/>
      <c r="AB462" s="463"/>
      <c r="AC462" s="465"/>
      <c r="AD462" s="466">
        <f ca="1">Table2[[#This Row],[End Date]]+2-TODAY()</f>
        <v>107</v>
      </c>
      <c r="AE462" s="465">
        <f>IF(ISBLANK(Table2[[#This Row],[Received by]]),1,0)</f>
        <v>1</v>
      </c>
      <c r="AF462" s="465">
        <f ca="1">IF(Table2[[#This Row],[Start Date]]&gt;TODAY(),1,)</f>
        <v>1</v>
      </c>
      <c r="AG462" s="465">
        <f>IF(ISBLANK(Table2[[#This Row],[Primary Instructor]]),0,1)</f>
        <v>1</v>
      </c>
      <c r="AH462" s="465">
        <f>IF(ISBLANK(Table2[[#This Row],[Instructor 2]]),0,1)</f>
        <v>0</v>
      </c>
      <c r="AI462" s="465">
        <f>Table2[[#This Row],[Course Length (Hours)]]/(SUM(Table2[[#This Row],[1]:[2]]))</f>
        <v>8</v>
      </c>
      <c r="AJ462" s="465">
        <f ca="1">Table2[[#This Row],[Quotas]]-Table2[[#This Row],[Registered]]</f>
        <v>30</v>
      </c>
      <c r="AK462" s="467">
        <v>4</v>
      </c>
    </row>
    <row r="463" spans="1:37" s="408" customFormat="1" x14ac:dyDescent="0.25">
      <c r="A463" s="462"/>
      <c r="B463" s="426" t="s">
        <v>44</v>
      </c>
      <c r="C463" s="463" t="str">
        <f>VLOOKUP(Table2[[#This Row],[Course Title]],'TSD-Data'!$A$1:$E$56,2,FALSE)</f>
        <v>A-493-0020</v>
      </c>
      <c r="D463" s="463">
        <f>VLOOKUP(Table2[[#This Row],[Course Title]],'TSD-Data'!$A$1:$E$56,3,FALSE)</f>
        <v>3888</v>
      </c>
      <c r="E463" s="426" t="s">
        <v>86</v>
      </c>
      <c r="F463" s="451">
        <v>45883</v>
      </c>
      <c r="G463" s="428">
        <v>45883</v>
      </c>
      <c r="H463" s="428"/>
      <c r="I463" s="469">
        <v>0.25</v>
      </c>
      <c r="J463" s="464">
        <v>0.125</v>
      </c>
      <c r="K463" s="464">
        <v>0.54166666666666663</v>
      </c>
      <c r="L463" s="464">
        <v>0.5</v>
      </c>
      <c r="M463" s="464">
        <v>0</v>
      </c>
      <c r="N463" s="464">
        <v>0.79166666666666663</v>
      </c>
      <c r="O463" s="462" t="s">
        <v>316</v>
      </c>
      <c r="P463" s="462"/>
      <c r="Q463" s="365"/>
      <c r="R463" s="465">
        <f>VLOOKUP(Table2[[#This Row],[Course Title]],'TSD-Data'!$A$1:$E$56,4,FALSE)</f>
        <v>30</v>
      </c>
      <c r="S463" s="465">
        <f>VLOOKUP(Table2[[#This Row],[Course Title]],'TSD-Data'!$A$1:$F$53,6,FALSE)</f>
        <v>4</v>
      </c>
      <c r="T463" s="465">
        <f>VLOOKUP(Table2[[#This Row],[Course Title]],'TSD-Data'!$A$1:$E$56,5,FALSE)</f>
        <v>0.5</v>
      </c>
      <c r="U463" s="465">
        <v>0</v>
      </c>
      <c r="V463" s="465">
        <f>Table2[[#This Row],[Quotas]]-Table2[[#This Row],[Open Quotas]]</f>
        <v>1</v>
      </c>
      <c r="W463" s="465"/>
      <c r="X463" s="465"/>
      <c r="Y463" s="466"/>
      <c r="Z463" s="465"/>
      <c r="AA463" s="465"/>
      <c r="AB463" s="465"/>
      <c r="AC463" s="465"/>
      <c r="AD463" s="466">
        <f ca="1">Table2[[#This Row],[End Date]]+2-TODAY()</f>
        <v>108</v>
      </c>
      <c r="AE463" s="465">
        <f>IF(ISBLANK(Table2[[#This Row],[Received by]]),1,0)</f>
        <v>1</v>
      </c>
      <c r="AF463" s="465">
        <f ca="1">IF(Table2[[#This Row],[Start Date]]&gt;TODAY(),1,)</f>
        <v>1</v>
      </c>
      <c r="AG463" s="465">
        <f>IF(ISBLANK(Table2[[#This Row],[Primary Instructor]]),0,1)</f>
        <v>1</v>
      </c>
      <c r="AH463" s="465">
        <f>IF(ISBLANK(Table2[[#This Row],[Instructor 2]]),0,1)</f>
        <v>0</v>
      </c>
      <c r="AI463" s="465">
        <f>Table2[[#This Row],[Course Length (Hours)]]/(SUM(Table2[[#This Row],[1]:[2]]))</f>
        <v>4</v>
      </c>
      <c r="AJ463" s="465">
        <v>29</v>
      </c>
      <c r="AK463" s="467">
        <v>4</v>
      </c>
    </row>
    <row r="464" spans="1:37" s="408" customFormat="1" x14ac:dyDescent="0.25">
      <c r="A464" s="462"/>
      <c r="B464" s="426" t="s">
        <v>33</v>
      </c>
      <c r="C464" s="463" t="str">
        <f>VLOOKUP(Table2[[#This Row],[Course Title]],'TSD-Data'!$A$1:$E$56,2,FALSE)</f>
        <v>A-493-2301</v>
      </c>
      <c r="D464" s="463" t="str">
        <f>VLOOKUP(Table2[[#This Row],[Course Title]],'TSD-Data'!$A$1:$E$56,3,FALSE)</f>
        <v>05ZD</v>
      </c>
      <c r="E464" s="448" t="s">
        <v>195</v>
      </c>
      <c r="F464" s="451">
        <v>45883</v>
      </c>
      <c r="G464" s="451">
        <v>45883</v>
      </c>
      <c r="H464" s="464">
        <v>0.33333333333333331</v>
      </c>
      <c r="I464" s="464"/>
      <c r="J464" s="464"/>
      <c r="K464" s="464"/>
      <c r="L464" s="464"/>
      <c r="M464" s="464"/>
      <c r="N464" s="464"/>
      <c r="O464" s="462" t="s">
        <v>280</v>
      </c>
      <c r="P464" s="462"/>
      <c r="Q464" s="365"/>
      <c r="R464" s="465">
        <f>VLOOKUP(Table2[[#This Row],[Course Title]],'TSD-Data'!$A$1:$E$56,4,FALSE)</f>
        <v>30</v>
      </c>
      <c r="S464" s="465">
        <f>VLOOKUP(Table2[[#This Row],[Course Title]],'TSD-Data'!$A$1:$F$53,6,FALSE)</f>
        <v>8</v>
      </c>
      <c r="T464" s="465">
        <f>VLOOKUP(Table2[[#This Row],[Course Title]],'TSD-Data'!$A$1:$E$56,5,FALSE)</f>
        <v>1</v>
      </c>
      <c r="U464" s="465">
        <v>38</v>
      </c>
      <c r="V464" s="465">
        <f ca="1">Table2[[#This Row],[Quotas]]-Table2[[#This Row],[Open Quotas]]</f>
        <v>0</v>
      </c>
      <c r="W464" s="465"/>
      <c r="X464" s="465"/>
      <c r="Y464" s="466"/>
      <c r="Z464" s="465"/>
      <c r="AA464" s="465"/>
      <c r="AB464" s="463"/>
      <c r="AC464" s="465"/>
      <c r="AD464" s="466">
        <f ca="1">Table2[[#This Row],[End Date]]+2-TODAY()</f>
        <v>108</v>
      </c>
      <c r="AE464" s="465">
        <f>IF(ISBLANK(Table2[[#This Row],[Received by]]),1,0)</f>
        <v>1</v>
      </c>
      <c r="AF464" s="465">
        <f ca="1">IF(Table2[[#This Row],[Start Date]]&gt;TODAY(),1,)</f>
        <v>1</v>
      </c>
      <c r="AG464" s="465">
        <f>IF(ISBLANK(Table2[[#This Row],[Primary Instructor]]),0,1)</f>
        <v>1</v>
      </c>
      <c r="AH464" s="465">
        <f>IF(ISBLANK(Table2[[#This Row],[Instructor 2]]),0,1)</f>
        <v>0</v>
      </c>
      <c r="AI464" s="465">
        <f>Table2[[#This Row],[Course Length (Hours)]]/(SUM(Table2[[#This Row],[1]:[2]]))</f>
        <v>8</v>
      </c>
      <c r="AJ464" s="465">
        <f ca="1">Table2[[#This Row],[Quotas]]-Table2[[#This Row],[Registered]]</f>
        <v>30</v>
      </c>
      <c r="AK464" s="467">
        <v>4</v>
      </c>
    </row>
    <row r="465" spans="1:37" s="408" customFormat="1" x14ac:dyDescent="0.25">
      <c r="A465" s="462" t="s">
        <v>433</v>
      </c>
      <c r="B465" s="426" t="s">
        <v>361</v>
      </c>
      <c r="C465" s="463" t="str">
        <f>VLOOKUP(Table2[[#This Row],[Course Title]],'TSD-Data'!$A$1:$E$56,2,FALSE)</f>
        <v>Function</v>
      </c>
      <c r="D465" s="463" t="str">
        <f>VLOOKUP(Table2[[#This Row],[Course Title]],'TSD-Data'!$A$1:$E$56,3,FALSE)</f>
        <v>Function</v>
      </c>
      <c r="E465" s="426" t="s">
        <v>198</v>
      </c>
      <c r="F465" s="428">
        <v>45884</v>
      </c>
      <c r="G465" s="428">
        <v>45884</v>
      </c>
      <c r="H465" s="464">
        <v>800</v>
      </c>
      <c r="I465" s="464">
        <v>800</v>
      </c>
      <c r="J465" s="464">
        <v>800</v>
      </c>
      <c r="K465" s="464">
        <v>800</v>
      </c>
      <c r="L465" s="464">
        <v>800</v>
      </c>
      <c r="M465" s="464">
        <v>800</v>
      </c>
      <c r="N465" s="464">
        <v>800</v>
      </c>
      <c r="O465" s="462"/>
      <c r="P465" s="462"/>
      <c r="Q465" s="365"/>
      <c r="R465" s="465">
        <f>VLOOKUP(Table2[[#This Row],[Course Title]],'TSD-Data'!$A$1:$E$56,4,FALSE)</f>
        <v>0</v>
      </c>
      <c r="S465" s="465">
        <f>VLOOKUP(Table2[[#This Row],[Course Title]],'TSD-Data'!$A$1:$F$53,6,FALSE)</f>
        <v>0</v>
      </c>
      <c r="T465" s="465">
        <f>VLOOKUP(Table2[[#This Row],[Course Title]],'TSD-Data'!$A$1:$E$56,5,FALSE)</f>
        <v>0</v>
      </c>
      <c r="U465" s="465">
        <v>0</v>
      </c>
      <c r="V465" s="465">
        <f ca="1">Table2[[#This Row],[Quotas]]-Table2[[#This Row],[Open Quotas]]</f>
        <v>0</v>
      </c>
      <c r="W465" s="465">
        <v>0</v>
      </c>
      <c r="X465" s="465">
        <v>0</v>
      </c>
      <c r="Y465" s="465">
        <v>0</v>
      </c>
      <c r="Z465" s="465">
        <v>0</v>
      </c>
      <c r="AA465" s="465">
        <v>0</v>
      </c>
      <c r="AB465" s="465">
        <v>0</v>
      </c>
      <c r="AC465" s="465" t="s">
        <v>285</v>
      </c>
      <c r="AD465" s="466">
        <f ca="1">Table2[[#This Row],[End Date]]+2-TODAY()</f>
        <v>109</v>
      </c>
      <c r="AE465" s="465">
        <f>IF(ISBLANK(Table2[[#This Row],[Received by]]),1,0)</f>
        <v>0</v>
      </c>
      <c r="AF465" s="465">
        <f ca="1">IF(Table2[[#This Row],[Start Date]]&gt;TODAY(),1,)</f>
        <v>1</v>
      </c>
      <c r="AG465" s="465">
        <f>IF(ISBLANK(Table2[[#This Row],[Primary Instructor]]),0,1)</f>
        <v>0</v>
      </c>
      <c r="AH465" s="465">
        <f>IF(ISBLANK(Table2[[#This Row],[Instructor 2]]),0,1)</f>
        <v>0</v>
      </c>
      <c r="AI465" s="465" t="e">
        <f>Table2[[#This Row],[Course Length (Hours)]]/(SUM(Table2[[#This Row],[1]:[2]]))</f>
        <v>#DIV/0!</v>
      </c>
      <c r="AJ465" s="465">
        <f ca="1">Table2[[#This Row],[Quotas]]-Table2[[#This Row],[Registered]]</f>
        <v>0</v>
      </c>
      <c r="AK465" s="467">
        <v>4</v>
      </c>
    </row>
    <row r="466" spans="1:37" s="408" customFormat="1" x14ac:dyDescent="0.25">
      <c r="A466" s="462"/>
      <c r="B466" s="426" t="s">
        <v>35</v>
      </c>
      <c r="C466" s="463" t="str">
        <f>VLOOKUP(Table2[[#This Row],[Course Title]],'TSD-Data'!$A$1:$E$56,2,FALSE)</f>
        <v>A-493-2501</v>
      </c>
      <c r="D466" s="463" t="str">
        <f>VLOOKUP(Table2[[#This Row],[Course Title]],'TSD-Data'!$A$1:$E$56,3,FALSE)</f>
        <v>05ZE</v>
      </c>
      <c r="E466" s="426" t="s">
        <v>195</v>
      </c>
      <c r="F466" s="428">
        <v>45884</v>
      </c>
      <c r="G466" s="428">
        <v>45884</v>
      </c>
      <c r="H466" s="464">
        <v>0.33333333333333331</v>
      </c>
      <c r="I466" s="464"/>
      <c r="J466" s="464"/>
      <c r="K466" s="464"/>
      <c r="L466" s="464"/>
      <c r="M466" s="464"/>
      <c r="N466" s="464"/>
      <c r="O466" s="462" t="s">
        <v>280</v>
      </c>
      <c r="P466" s="462"/>
      <c r="Q466" s="365"/>
      <c r="R466" s="465">
        <f>VLOOKUP(Table2[[#This Row],[Course Title]],'TSD-Data'!$A$1:$E$56,4,FALSE)</f>
        <v>30</v>
      </c>
      <c r="S466" s="465">
        <f>VLOOKUP(Table2[[#This Row],[Course Title]],'TSD-Data'!$A$1:$F$53,6,FALSE)</f>
        <v>8</v>
      </c>
      <c r="T466" s="465">
        <f>VLOOKUP(Table2[[#This Row],[Course Title]],'TSD-Data'!$A$1:$E$56,5,FALSE)</f>
        <v>1</v>
      </c>
      <c r="U466" s="465">
        <v>0</v>
      </c>
      <c r="V466" s="465">
        <f ca="1">Table2[[#This Row],[Quotas]]-Table2[[#This Row],[Open Quotas]]</f>
        <v>0</v>
      </c>
      <c r="W466" s="465"/>
      <c r="X466" s="465"/>
      <c r="Y466" s="466"/>
      <c r="Z466" s="465"/>
      <c r="AA466" s="465"/>
      <c r="AB466" s="463"/>
      <c r="AC466" s="465"/>
      <c r="AD466" s="466">
        <f ca="1">Table2[[#This Row],[End Date]]+2-TODAY()</f>
        <v>109</v>
      </c>
      <c r="AE466" s="465">
        <f>IF(ISBLANK(Table2[[#This Row],[Received by]]),1,0)</f>
        <v>1</v>
      </c>
      <c r="AF466" s="465">
        <f ca="1">IF(Table2[[#This Row],[Start Date]]&gt;TODAY(),1,)</f>
        <v>1</v>
      </c>
      <c r="AG466" s="465">
        <f>IF(ISBLANK(Table2[[#This Row],[Primary Instructor]]),0,1)</f>
        <v>1</v>
      </c>
      <c r="AH466" s="465">
        <f>IF(ISBLANK(Table2[[#This Row],[Instructor 2]]),0,1)</f>
        <v>0</v>
      </c>
      <c r="AI466" s="465">
        <f>Table2[[#This Row],[Course Length (Hours)]]/(SUM(Table2[[#This Row],[1]:[2]]))</f>
        <v>8</v>
      </c>
      <c r="AJ466" s="465">
        <f ca="1">Table2[[#This Row],[Quotas]]-Table2[[#This Row],[Registered]]</f>
        <v>30</v>
      </c>
      <c r="AK466" s="467">
        <v>4</v>
      </c>
    </row>
    <row r="467" spans="1:37" s="408" customFormat="1" x14ac:dyDescent="0.25">
      <c r="A467" s="462"/>
      <c r="B467" s="426" t="s">
        <v>55</v>
      </c>
      <c r="C467" s="463" t="str">
        <f>VLOOKUP(Table2[[#This Row],[Course Title]],'TSD-Data'!$A$1:$E$56,2,FALSE)</f>
        <v>A-493-0103</v>
      </c>
      <c r="D467" s="463" t="str">
        <f>VLOOKUP(Table2[[#This Row],[Course Title]],'TSD-Data'!$A$1:$E$56,3,FALSE)</f>
        <v>12JY</v>
      </c>
      <c r="E467" s="426" t="s">
        <v>205</v>
      </c>
      <c r="F467" s="428">
        <v>45887</v>
      </c>
      <c r="G467" s="428">
        <v>45891</v>
      </c>
      <c r="H467" s="464">
        <v>0.33333333333333331</v>
      </c>
      <c r="I467" s="469"/>
      <c r="J467" s="469"/>
      <c r="K467" s="469"/>
      <c r="L467" s="469"/>
      <c r="M467" s="469"/>
      <c r="N467" s="469"/>
      <c r="O467" s="462" t="s">
        <v>314</v>
      </c>
      <c r="P467" s="462"/>
      <c r="Q467" s="365"/>
      <c r="R467" s="465">
        <f>VLOOKUP(Table2[[#This Row],[Course Title]],'TSD-Data'!$A$1:$E$56,4,FALSE)</f>
        <v>25</v>
      </c>
      <c r="S467" s="465">
        <f>VLOOKUP(Table2[[#This Row],[Course Title]],'TSD-Data'!$A$1:$F$53,6,FALSE)</f>
        <v>40</v>
      </c>
      <c r="T467" s="465">
        <f>VLOOKUP(Table2[[#This Row],[Course Title]],'TSD-Data'!$A$1:$E$56,5,FALSE)</f>
        <v>5</v>
      </c>
      <c r="U467" s="465">
        <v>155</v>
      </c>
      <c r="V467" s="465">
        <f>Table2[[#This Row],[Quotas]]-Table2[[#This Row],[Open Quotas]]</f>
        <v>12</v>
      </c>
      <c r="W467" s="465"/>
      <c r="X467" s="465"/>
      <c r="Y467" s="466"/>
      <c r="Z467" s="465"/>
      <c r="AA467" s="465"/>
      <c r="AB467" s="465"/>
      <c r="AC467" s="465"/>
      <c r="AD467" s="466">
        <f ca="1">Table2[[#This Row],[End Date]]+2-TODAY()</f>
        <v>116</v>
      </c>
      <c r="AE467" s="465">
        <f>IF(ISBLANK(Table2[[#This Row],[Received by]]),1,0)</f>
        <v>1</v>
      </c>
      <c r="AF467" s="465">
        <f ca="1">IF(Table2[[#This Row],[Start Date]]&gt;TODAY(),1,)</f>
        <v>1</v>
      </c>
      <c r="AG467" s="465">
        <f>IF(ISBLANK(Table2[[#This Row],[Primary Instructor]]),0,1)</f>
        <v>1</v>
      </c>
      <c r="AH467" s="465">
        <f>IF(ISBLANK(Table2[[#This Row],[Instructor 2]]),0,1)</f>
        <v>0</v>
      </c>
      <c r="AI467" s="465">
        <f>Table2[[#This Row],[Course Length (Hours)]]/(SUM(Table2[[#This Row],[1]:[2]]))</f>
        <v>40</v>
      </c>
      <c r="AJ467" s="465">
        <v>13</v>
      </c>
      <c r="AK467" s="467">
        <v>4</v>
      </c>
    </row>
    <row r="468" spans="1:37" s="408" customFormat="1" x14ac:dyDescent="0.25">
      <c r="A468" s="472" t="s">
        <v>404</v>
      </c>
      <c r="B468" s="426" t="s">
        <v>17</v>
      </c>
      <c r="C468" s="463" t="str">
        <f>VLOOKUP(Table2[[#This Row],[Course Title]],'TSD-Data'!$A$1:$E$56,2,FALSE)</f>
        <v>A-493-0012</v>
      </c>
      <c r="D468" s="463">
        <f>VLOOKUP(Table2[[#This Row],[Course Title]],'TSD-Data'!$A$1:$E$56,3,FALSE)</f>
        <v>3682</v>
      </c>
      <c r="E468" s="426" t="s">
        <v>184</v>
      </c>
      <c r="F468" s="428">
        <v>45887</v>
      </c>
      <c r="G468" s="428">
        <v>45891</v>
      </c>
      <c r="H468" s="464">
        <v>0.33333333333333331</v>
      </c>
      <c r="I468" s="464"/>
      <c r="J468" s="428"/>
      <c r="K468" s="428"/>
      <c r="L468" s="428"/>
      <c r="M468" s="428"/>
      <c r="N468" s="428"/>
      <c r="O468" s="462" t="s">
        <v>257</v>
      </c>
      <c r="P468" s="462"/>
      <c r="Q468" s="365"/>
      <c r="R468" s="466">
        <f>VLOOKUP(Table2[[#This Row],[Course Title]],'TSD-Data'!$A$1:$E$56,4,FALSE)</f>
        <v>40</v>
      </c>
      <c r="S468" s="465">
        <f>VLOOKUP(Table2[[#This Row],[Course Title]],'TSD-Data'!$A$1:$F$53,6,FALSE)</f>
        <v>40</v>
      </c>
      <c r="T468" s="470">
        <f>VLOOKUP(Table2[[#This Row],[Course Title]],'TSD-Data'!$A$1:$E$56,5,FALSE)</f>
        <v>5</v>
      </c>
      <c r="U468" s="470">
        <v>0</v>
      </c>
      <c r="V468" s="470">
        <f ca="1">Table2[[#This Row],[Quotas]]-Table2[[#This Row],[Open Quotas]]</f>
        <v>0</v>
      </c>
      <c r="W468" s="470"/>
      <c r="X468" s="470"/>
      <c r="Y468" s="470"/>
      <c r="Z468" s="463"/>
      <c r="AA468" s="463"/>
      <c r="AB468" s="470"/>
      <c r="AC468" s="465"/>
      <c r="AD468" s="466">
        <f ca="1">Table2[[#This Row],[End Date]]+2-TODAY()</f>
        <v>116</v>
      </c>
      <c r="AE468" s="465">
        <f>IF(ISBLANK(Table2[[#This Row],[Received by]]),1,0)</f>
        <v>1</v>
      </c>
      <c r="AF468" s="465">
        <f ca="1">IF(Table2[[#This Row],[Start Date]]&gt;TODAY(),1,)</f>
        <v>1</v>
      </c>
      <c r="AG468" s="465">
        <f>IF(ISBLANK(Table2[[#This Row],[Primary Instructor]]),0,1)</f>
        <v>1</v>
      </c>
      <c r="AH468" s="465">
        <f>IF(ISBLANK(Table2[[#This Row],[Instructor 2]]),0,1)</f>
        <v>0</v>
      </c>
      <c r="AI468" s="465">
        <f>Table2[[#This Row],[Course Length (Hours)]]/(SUM(Table2[[#This Row],[1]:[2]]))</f>
        <v>40</v>
      </c>
      <c r="AJ468" s="465">
        <f ca="1">Table2[[#This Row],[Quotas]]-Table2[[#This Row],[Registered]]</f>
        <v>40</v>
      </c>
      <c r="AK468" s="467">
        <v>4</v>
      </c>
    </row>
    <row r="469" spans="1:37" s="408" customFormat="1" x14ac:dyDescent="0.25">
      <c r="A469" s="462"/>
      <c r="B469" s="426" t="s">
        <v>120</v>
      </c>
      <c r="C469" s="463" t="str">
        <f>VLOOKUP(Table2[[#This Row],[Course Title]],'TSD-Data'!$A$1:$E$56,2,FALSE)</f>
        <v>A-322-2604</v>
      </c>
      <c r="D469" s="463" t="str">
        <f>VLOOKUP(Table2[[#This Row],[Course Title]],'TSD-Data'!$A$1:$E$56,3,FALSE)</f>
        <v>10ZZ</v>
      </c>
      <c r="E469" s="426" t="s">
        <v>86</v>
      </c>
      <c r="F469" s="428">
        <v>45887</v>
      </c>
      <c r="G469" s="428">
        <v>45889</v>
      </c>
      <c r="H469" s="464"/>
      <c r="I469" s="464">
        <v>0.79166666666666663</v>
      </c>
      <c r="J469" s="469">
        <v>0.66666666666666663</v>
      </c>
      <c r="K469" s="469">
        <v>8.3333333333333329E-2</v>
      </c>
      <c r="L469" s="469">
        <v>0</v>
      </c>
      <c r="M469" s="469">
        <v>0.54166666666666663</v>
      </c>
      <c r="N469" s="469">
        <v>0.33333333333333331</v>
      </c>
      <c r="O469" s="501" t="s">
        <v>288</v>
      </c>
      <c r="P469" s="462"/>
      <c r="Q469" s="365"/>
      <c r="R469" s="465">
        <f>VLOOKUP(Table2[[#This Row],[Course Title]],'TSD-Data'!$A$1:$E$56,4,FALSE)</f>
        <v>45</v>
      </c>
      <c r="S469" s="465">
        <f>VLOOKUP(Table2[[#This Row],[Course Title]],'TSD-Data'!$A$1:$F$53,6,FALSE)</f>
        <v>24</v>
      </c>
      <c r="T469" s="465">
        <f>VLOOKUP(Table2[[#This Row],[Course Title]],'TSD-Data'!$A$1:$E$56,5,FALSE)</f>
        <v>3</v>
      </c>
      <c r="U469" s="525">
        <v>105</v>
      </c>
      <c r="V469" s="465">
        <f ca="1">Table2[[#This Row],[Quotas]]-Table2[[#This Row],[Open Quotas]]</f>
        <v>0</v>
      </c>
      <c r="W469" s="465"/>
      <c r="X469" s="466"/>
      <c r="Y469" s="466"/>
      <c r="Z469" s="465"/>
      <c r="AA469" s="465"/>
      <c r="AB469" s="463"/>
      <c r="AC469" s="465"/>
      <c r="AD469" s="466">
        <f ca="1">Table2[[#This Row],[End Date]]+2-TODAY()</f>
        <v>114</v>
      </c>
      <c r="AE469" s="465">
        <f>IF(ISBLANK(Table2[[#This Row],[Received by]]),1,0)</f>
        <v>1</v>
      </c>
      <c r="AF469" s="465">
        <f ca="1">IF(Table2[[#This Row],[Start Date]]&gt;TODAY(),1,)</f>
        <v>1</v>
      </c>
      <c r="AG469" s="465">
        <f>IF(ISBLANK(Table2[[#This Row],[Primary Instructor]]),0,1)</f>
        <v>1</v>
      </c>
      <c r="AH469" s="465">
        <f>IF(ISBLANK(Table2[[#This Row],[Instructor 2]]),0,1)</f>
        <v>0</v>
      </c>
      <c r="AI469" s="465">
        <f>Table2[[#This Row],[Course Length (Hours)]]/(SUM(Table2[[#This Row],[1]:[2]]))</f>
        <v>24</v>
      </c>
      <c r="AJ469" s="465">
        <f ca="1">Table2[[#This Row],[Quotas]]-Table2[[#This Row],[Registered]]</f>
        <v>45</v>
      </c>
      <c r="AK469" s="467">
        <v>4</v>
      </c>
    </row>
    <row r="470" spans="1:37" s="408" customFormat="1" x14ac:dyDescent="0.25">
      <c r="A470" s="462"/>
      <c r="B470" s="426" t="s">
        <v>29</v>
      </c>
      <c r="C470" s="463" t="str">
        <f>VLOOKUP(Table2[[#This Row],[Course Title]],'TSD-Data'!$A$1:$E$56,2,FALSE)</f>
        <v>A-493-0077</v>
      </c>
      <c r="D470" s="463" t="str">
        <f>VLOOKUP(Table2[[#This Row],[Course Title]],'TSD-Data'!$A$1:$E$56,3,FALSE)</f>
        <v>0381</v>
      </c>
      <c r="E470" s="426" t="s">
        <v>220</v>
      </c>
      <c r="F470" s="428">
        <v>45887</v>
      </c>
      <c r="G470" s="428">
        <v>45889</v>
      </c>
      <c r="H470" s="464">
        <v>0.33333333333333331</v>
      </c>
      <c r="I470" s="464"/>
      <c r="J470" s="464"/>
      <c r="K470" s="464"/>
      <c r="L470" s="464"/>
      <c r="M470" s="464"/>
      <c r="N470" s="464"/>
      <c r="O470" s="462" t="s">
        <v>280</v>
      </c>
      <c r="P470" s="462"/>
      <c r="Q470" s="365"/>
      <c r="R470" s="465">
        <f>VLOOKUP(Table2[[#This Row],[Course Title]],'TSD-Data'!$A$1:$E$56,4,FALSE)</f>
        <v>25</v>
      </c>
      <c r="S470" s="465">
        <f>VLOOKUP(Table2[[#This Row],[Course Title]],'TSD-Data'!$A$1:$F$53,6,FALSE)</f>
        <v>24</v>
      </c>
      <c r="T470" s="465">
        <f>VLOOKUP(Table2[[#This Row],[Course Title]],'TSD-Data'!$A$1:$E$56,5,FALSE)</f>
        <v>3</v>
      </c>
      <c r="U470" s="465">
        <v>38</v>
      </c>
      <c r="V470" s="465">
        <f>Table2[[#This Row],[Quotas]]-Table2[[#This Row],[Open Quotas]]</f>
        <v>15</v>
      </c>
      <c r="W470" s="465"/>
      <c r="X470" s="465"/>
      <c r="Y470" s="466"/>
      <c r="Z470" s="465"/>
      <c r="AA470" s="465"/>
      <c r="AB470" s="463"/>
      <c r="AC470" s="465"/>
      <c r="AD470" s="466">
        <f ca="1">Table2[[#This Row],[End Date]]+2-TODAY()</f>
        <v>114</v>
      </c>
      <c r="AE470" s="465">
        <f>IF(ISBLANK(Table2[[#This Row],[Received by]]),1,0)</f>
        <v>1</v>
      </c>
      <c r="AF470" s="465">
        <f ca="1">IF(Table2[[#This Row],[Start Date]]&gt;TODAY(),1,)</f>
        <v>1</v>
      </c>
      <c r="AG470" s="465">
        <f>IF(ISBLANK(Table2[[#This Row],[Primary Instructor]]),0,1)</f>
        <v>1</v>
      </c>
      <c r="AH470" s="465">
        <f>IF(ISBLANK(Table2[[#This Row],[Instructor 2]]),0,1)</f>
        <v>0</v>
      </c>
      <c r="AI470" s="465">
        <f>Table2[[#This Row],[Course Length (Hours)]]/(SUM(Table2[[#This Row],[1]:[2]]))</f>
        <v>24</v>
      </c>
      <c r="AJ470" s="465">
        <v>10</v>
      </c>
      <c r="AK470" s="467">
        <v>4</v>
      </c>
    </row>
    <row r="471" spans="1:37" s="408" customFormat="1" x14ac:dyDescent="0.25">
      <c r="A471" s="426"/>
      <c r="B471" s="426" t="s">
        <v>51</v>
      </c>
      <c r="C471" s="463" t="str">
        <f>VLOOKUP(Table2[[#This Row],[Course Title]],'TSD-Data'!$A$1:$E$56,2,FALSE)</f>
        <v>A-493-0335</v>
      </c>
      <c r="D471" s="463" t="str">
        <f>VLOOKUP(Table2[[#This Row],[Course Title]],'TSD-Data'!$A$1:$E$56,3,FALSE)</f>
        <v>09ND</v>
      </c>
      <c r="E471" s="426" t="s">
        <v>86</v>
      </c>
      <c r="F471" s="428">
        <v>45887</v>
      </c>
      <c r="G471" s="428">
        <v>45890</v>
      </c>
      <c r="H471" s="464"/>
      <c r="I471" s="469">
        <v>0.5</v>
      </c>
      <c r="J471" s="469">
        <v>0.375</v>
      </c>
      <c r="K471" s="469">
        <v>0.79166666666666663</v>
      </c>
      <c r="L471" s="469">
        <v>0.75</v>
      </c>
      <c r="M471" s="469">
        <v>0.25</v>
      </c>
      <c r="N471" s="469">
        <v>4.1666666666666664E-2</v>
      </c>
      <c r="O471" s="462" t="s">
        <v>274</v>
      </c>
      <c r="P471" s="462"/>
      <c r="Q471" s="365"/>
      <c r="R471" s="465">
        <f>VLOOKUP(Table2[[#This Row],[Course Title]],'TSD-Data'!$A$1:$E$56,4,FALSE)</f>
        <v>45</v>
      </c>
      <c r="S471" s="465">
        <f>VLOOKUP(Table2[[#This Row],[Course Title]],'TSD-Data'!$A$1:$F$53,6,FALSE)</f>
        <v>32</v>
      </c>
      <c r="T471" s="465">
        <f>VLOOKUP(Table2[[#This Row],[Course Title]],'TSD-Data'!$A$1:$E$56,5,FALSE)</f>
        <v>4</v>
      </c>
      <c r="U471" s="465">
        <v>400</v>
      </c>
      <c r="V471" s="465">
        <f>Table2[[#This Row],[Quotas]]-Table2[[#This Row],[Open Quotas]]</f>
        <v>1</v>
      </c>
      <c r="W471" s="465"/>
      <c r="X471" s="465"/>
      <c r="Y471" s="466"/>
      <c r="Z471" s="465"/>
      <c r="AA471" s="465"/>
      <c r="AB471" s="465"/>
      <c r="AC471" s="465"/>
      <c r="AD471" s="466">
        <f ca="1">Table2[[#This Row],[End Date]]+2-TODAY()</f>
        <v>115</v>
      </c>
      <c r="AE471" s="465">
        <f>IF(ISBLANK(Table2[[#This Row],[Received by]]),1,0)</f>
        <v>1</v>
      </c>
      <c r="AF471" s="465">
        <f ca="1">IF(Table2[[#This Row],[Start Date]]&gt;TODAY(),1,)</f>
        <v>1</v>
      </c>
      <c r="AG471" s="465">
        <f>IF(ISBLANK(Table2[[#This Row],[Primary Instructor]]),0,1)</f>
        <v>1</v>
      </c>
      <c r="AH471" s="465">
        <f>IF(ISBLANK(Table2[[#This Row],[Instructor 2]]),0,1)</f>
        <v>0</v>
      </c>
      <c r="AI471" s="465">
        <f>Table2[[#This Row],[Course Length (Hours)]]/(SUM(Table2[[#This Row],[1]:[2]]))</f>
        <v>32</v>
      </c>
      <c r="AJ471" s="465">
        <v>44</v>
      </c>
      <c r="AK471" s="467">
        <v>4</v>
      </c>
    </row>
    <row r="472" spans="1:37" s="408" customFormat="1" x14ac:dyDescent="0.25">
      <c r="A472" s="462"/>
      <c r="B472" s="426" t="s">
        <v>59</v>
      </c>
      <c r="C472" s="463" t="str">
        <f>VLOOKUP(Table2[[#This Row],[Course Title]],'TSD-Data'!$A$1:$E$56,2,FALSE)</f>
        <v>A-493-0550</v>
      </c>
      <c r="D472" s="463" t="str">
        <f>VLOOKUP(Table2[[#This Row],[Course Title]],'TSD-Data'!$A$1:$E$56,3,FALSE)</f>
        <v>09K5</v>
      </c>
      <c r="E472" s="426" t="s">
        <v>86</v>
      </c>
      <c r="F472" s="451">
        <v>45887</v>
      </c>
      <c r="G472" s="451">
        <v>45890</v>
      </c>
      <c r="H472" s="428"/>
      <c r="I472" s="469">
        <v>0.33333333333333331</v>
      </c>
      <c r="J472" s="464">
        <v>0.20833333333333334</v>
      </c>
      <c r="K472" s="464">
        <v>0.625</v>
      </c>
      <c r="L472" s="464">
        <v>0.54166666666666663</v>
      </c>
      <c r="M472" s="464">
        <v>8.3333333333333329E-2</v>
      </c>
      <c r="N472" s="464">
        <v>0.875</v>
      </c>
      <c r="O472" s="462" t="s">
        <v>330</v>
      </c>
      <c r="P472" s="462"/>
      <c r="Q472" s="365"/>
      <c r="R472" s="465">
        <f>VLOOKUP(Table2[[#This Row],[Course Title]],'TSD-Data'!$A$1:$E$56,4,FALSE)</f>
        <v>45</v>
      </c>
      <c r="S472" s="465">
        <f>VLOOKUP(Table2[[#This Row],[Course Title]],'TSD-Data'!$A$1:$F$53,6,FALSE)</f>
        <v>32</v>
      </c>
      <c r="T472" s="465">
        <f>VLOOKUP(Table2[[#This Row],[Course Title]],'TSD-Data'!$A$1:$E$56,5,FALSE)</f>
        <v>4</v>
      </c>
      <c r="U472" s="465">
        <v>845</v>
      </c>
      <c r="V472" s="465">
        <f>Table2[[#This Row],[Quotas]]-Table2[[#This Row],[Open Quotas]]</f>
        <v>3</v>
      </c>
      <c r="W472" s="465"/>
      <c r="X472" s="465"/>
      <c r="Y472" s="466"/>
      <c r="Z472" s="465"/>
      <c r="AA472" s="465"/>
      <c r="AB472" s="465"/>
      <c r="AC472" s="465"/>
      <c r="AD472" s="466">
        <f ca="1">Table2[[#This Row],[End Date]]+2-TODAY()</f>
        <v>115</v>
      </c>
      <c r="AE472" s="465">
        <f>IF(ISBLANK(Table2[[#This Row],[Received by]]),1,0)</f>
        <v>1</v>
      </c>
      <c r="AF472" s="465">
        <f ca="1">IF(Table2[[#This Row],[Start Date]]&gt;TODAY(),1,)</f>
        <v>1</v>
      </c>
      <c r="AG472" s="465">
        <f>IF(ISBLANK(Table2[[#This Row],[Primary Instructor]]),0,1)</f>
        <v>1</v>
      </c>
      <c r="AH472" s="465">
        <f>IF(ISBLANK(Table2[[#This Row],[Instructor 2]]),0,1)</f>
        <v>0</v>
      </c>
      <c r="AI472" s="465">
        <f>Table2[[#This Row],[Course Length (Hours)]]/(SUM(Table2[[#This Row],[1]:[2]]))</f>
        <v>32</v>
      </c>
      <c r="AJ472" s="465">
        <v>42</v>
      </c>
      <c r="AK472" s="467">
        <v>4</v>
      </c>
    </row>
    <row r="473" spans="1:37" s="408" customFormat="1" x14ac:dyDescent="0.25">
      <c r="A473" s="462"/>
      <c r="B473" s="426" t="s">
        <v>60</v>
      </c>
      <c r="C473" s="463" t="str">
        <f>VLOOKUP(Table2[[#This Row],[Course Title]],'TSD-Data'!$A$1:$E$56,2,FALSE)</f>
        <v>A-493-0073</v>
      </c>
      <c r="D473" s="463" t="str">
        <f>VLOOKUP(Table2[[#This Row],[Course Title]],'TSD-Data'!$A$1:$E$56,3,FALSE)</f>
        <v>714S</v>
      </c>
      <c r="E473" s="426" t="s">
        <v>86</v>
      </c>
      <c r="F473" s="428">
        <v>45887</v>
      </c>
      <c r="G473" s="428">
        <v>45890</v>
      </c>
      <c r="H473" s="464"/>
      <c r="I473" s="464">
        <v>0.33333333333333331</v>
      </c>
      <c r="J473" s="464">
        <v>0.20833333333333334</v>
      </c>
      <c r="K473" s="464">
        <v>0.625</v>
      </c>
      <c r="L473" s="464">
        <v>0.54166666666666663</v>
      </c>
      <c r="M473" s="464">
        <v>8.3333333333333329E-2</v>
      </c>
      <c r="N473" s="464">
        <v>0.875</v>
      </c>
      <c r="O473" s="462" t="s">
        <v>314</v>
      </c>
      <c r="P473" s="462"/>
      <c r="Q473" s="365"/>
      <c r="R473" s="465">
        <f>VLOOKUP(Table2[[#This Row],[Course Title]],'TSD-Data'!$A$1:$E$56,4,FALSE)</f>
        <v>30</v>
      </c>
      <c r="S473" s="465">
        <f>VLOOKUP(Table2[[#This Row],[Course Title]],'TSD-Data'!$A$1:$F$53,6,FALSE)</f>
        <v>32</v>
      </c>
      <c r="T473" s="465">
        <f>VLOOKUP(Table2[[#This Row],[Course Title]],'TSD-Data'!$A$1:$E$56,5,FALSE)</f>
        <v>4</v>
      </c>
      <c r="U473" s="465">
        <v>284</v>
      </c>
      <c r="V473" s="465">
        <f>Table2[[#This Row],[Quotas]]-Table2[[#This Row],[Open Quotas]]</f>
        <v>4</v>
      </c>
      <c r="W473" s="465"/>
      <c r="X473" s="465"/>
      <c r="Y473" s="466"/>
      <c r="Z473" s="465"/>
      <c r="AA473" s="465"/>
      <c r="AB473" s="465"/>
      <c r="AC473" s="465"/>
      <c r="AD473" s="466">
        <f ca="1">Table2[[#This Row],[End Date]]+2-TODAY()</f>
        <v>115</v>
      </c>
      <c r="AE473" s="465">
        <f>IF(ISBLANK(Table2[[#This Row],[Received by]]),1,0)</f>
        <v>1</v>
      </c>
      <c r="AF473" s="465">
        <f ca="1">IF(Table2[[#This Row],[Start Date]]&gt;TODAY(),1,)</f>
        <v>1</v>
      </c>
      <c r="AG473" s="465">
        <f>IF(ISBLANK(Table2[[#This Row],[Primary Instructor]]),0,1)</f>
        <v>1</v>
      </c>
      <c r="AH473" s="465">
        <f>IF(ISBLANK(Table2[[#This Row],[Instructor 2]]),0,1)</f>
        <v>0</v>
      </c>
      <c r="AI473" s="465">
        <f>Table2[[#This Row],[Course Length (Hours)]]/(SUM(Table2[[#This Row],[1]:[2]]))</f>
        <v>32</v>
      </c>
      <c r="AJ473" s="465">
        <v>26</v>
      </c>
      <c r="AK473" s="467">
        <v>4</v>
      </c>
    </row>
    <row r="474" spans="1:37" s="408" customFormat="1" x14ac:dyDescent="0.25">
      <c r="A474" s="426"/>
      <c r="B474" s="426" t="s">
        <v>53</v>
      </c>
      <c r="C474" s="463" t="str">
        <f>VLOOKUP(Table2[[#This Row],[Course Title]],'TSD-Data'!$A$1:$E$56,2,FALSE)</f>
        <v>A-493-0072</v>
      </c>
      <c r="D474" s="463" t="str">
        <f>VLOOKUP(Table2[[#This Row],[Course Title]],'TSD-Data'!$A$1:$E$56,3,FALSE)</f>
        <v>713U</v>
      </c>
      <c r="E474" s="426" t="s">
        <v>219</v>
      </c>
      <c r="F474" s="428">
        <v>45887</v>
      </c>
      <c r="G474" s="428">
        <v>45891</v>
      </c>
      <c r="H474" s="464">
        <v>0.33333333333333331</v>
      </c>
      <c r="I474" s="469"/>
      <c r="J474" s="469"/>
      <c r="K474" s="469"/>
      <c r="L474" s="469"/>
      <c r="M474" s="469"/>
      <c r="N474" s="469"/>
      <c r="O474" s="462" t="s">
        <v>318</v>
      </c>
      <c r="P474" s="462"/>
      <c r="Q474" s="431" t="s">
        <v>286</v>
      </c>
      <c r="R474" s="465">
        <f>VLOOKUP(Table2[[#This Row],[Course Title]],'TSD-Data'!$A$1:$E$56,4,FALSE)</f>
        <v>30</v>
      </c>
      <c r="S474" s="465">
        <f>VLOOKUP(Table2[[#This Row],[Course Title]],'TSD-Data'!$A$1:$F$53,6,FALSE)</f>
        <v>40</v>
      </c>
      <c r="T474" s="465">
        <f>VLOOKUP(Table2[[#This Row],[Course Title]],'TSD-Data'!$A$1:$E$56,5,FALSE)</f>
        <v>5</v>
      </c>
      <c r="U474" s="465">
        <v>23</v>
      </c>
      <c r="V474" s="465">
        <f>Table2[[#This Row],[Quotas]]-Table2[[#This Row],[Open Quotas]]</f>
        <v>5</v>
      </c>
      <c r="W474" s="465"/>
      <c r="X474" s="465"/>
      <c r="Y474" s="466"/>
      <c r="Z474" s="465"/>
      <c r="AA474" s="465"/>
      <c r="AB474" s="465"/>
      <c r="AC474" s="465"/>
      <c r="AD474" s="466">
        <f ca="1">Table2[[#This Row],[End Date]]+2-TODAY()</f>
        <v>116</v>
      </c>
      <c r="AE474" s="465">
        <f>IF(ISBLANK(Table2[[#This Row],[Received by]]),1,0)</f>
        <v>1</v>
      </c>
      <c r="AF474" s="465">
        <f ca="1">IF(Table2[[#This Row],[Start Date]]&gt;TODAY(),1,)</f>
        <v>1</v>
      </c>
      <c r="AG474" s="465">
        <f>IF(ISBLANK(Table2[[#This Row],[Primary Instructor]]),0,1)</f>
        <v>1</v>
      </c>
      <c r="AH474" s="465">
        <f>IF(ISBLANK(Table2[[#This Row],[Instructor 2]]),0,1)</f>
        <v>0</v>
      </c>
      <c r="AI474" s="465">
        <f>Table2[[#This Row],[Course Length (Hours)]]/(SUM(Table2[[#This Row],[1]:[2]]))</f>
        <v>40</v>
      </c>
      <c r="AJ474" s="465">
        <v>25</v>
      </c>
      <c r="AK474" s="467">
        <v>4</v>
      </c>
    </row>
    <row r="475" spans="1:37" s="408" customFormat="1" x14ac:dyDescent="0.25">
      <c r="A475" s="463"/>
      <c r="B475" s="426" t="s">
        <v>40</v>
      </c>
      <c r="C475" s="463" t="str">
        <f>VLOOKUP(Table2[[#This Row],[Course Title]],'TSD-Data'!$A$1:$E$56,2,FALSE)</f>
        <v>A-493-2098</v>
      </c>
      <c r="D475" s="463" t="str">
        <f>VLOOKUP(Table2[[#This Row],[Course Title]],'TSD-Data'!$A$1:$E$56,3,FALSE)</f>
        <v>09WW</v>
      </c>
      <c r="E475" s="426" t="s">
        <v>86</v>
      </c>
      <c r="F475" s="428">
        <v>45887</v>
      </c>
      <c r="G475" s="428">
        <v>45889</v>
      </c>
      <c r="H475" s="464"/>
      <c r="I475" s="469">
        <v>0.5</v>
      </c>
      <c r="J475" s="469">
        <v>0.375</v>
      </c>
      <c r="K475" s="469">
        <v>0.79166666666666663</v>
      </c>
      <c r="L475" s="469">
        <v>0.75</v>
      </c>
      <c r="M475" s="469">
        <v>0.25</v>
      </c>
      <c r="N475" s="469">
        <v>4.1666666666666664E-2</v>
      </c>
      <c r="O475" s="462" t="s">
        <v>282</v>
      </c>
      <c r="P475" s="462"/>
      <c r="Q475" s="365"/>
      <c r="R475" s="465">
        <f>VLOOKUP(Table2[[#This Row],[Course Title]],'TSD-Data'!$A$1:$E$56,4,FALSE)</f>
        <v>100</v>
      </c>
      <c r="S475" s="465">
        <f>VLOOKUP(Table2[[#This Row],[Course Title]],'TSD-Data'!$A$1:$F$53,6,FALSE)</f>
        <v>16</v>
      </c>
      <c r="T475" s="465">
        <f>VLOOKUP(Table2[[#This Row],[Course Title]],'TSD-Data'!$A$1:$E$56,5,FALSE)</f>
        <v>2</v>
      </c>
      <c r="U475" s="465">
        <v>722</v>
      </c>
      <c r="V475" s="465">
        <f>Table2[[#This Row],[Quotas]]-Table2[[#This Row],[Open Quotas]]</f>
        <v>2</v>
      </c>
      <c r="W475" s="465"/>
      <c r="X475" s="470"/>
      <c r="Y475" s="470"/>
      <c r="Z475" s="463"/>
      <c r="AA475" s="463"/>
      <c r="AB475" s="470"/>
      <c r="AC475" s="465"/>
      <c r="AD475" s="466">
        <f ca="1">Table2[[#This Row],[End Date]]+2-TODAY()</f>
        <v>114</v>
      </c>
      <c r="AE475" s="465">
        <f>IF(ISBLANK(Table2[[#This Row],[Received by]]),1,0)</f>
        <v>1</v>
      </c>
      <c r="AF475" s="465">
        <f ca="1">IF(Table2[[#This Row],[Start Date]]&gt;TODAY(),1,)</f>
        <v>1</v>
      </c>
      <c r="AG475" s="465">
        <f>IF(ISBLANK(Table2[[#This Row],[Primary Instructor]]),0,1)</f>
        <v>1</v>
      </c>
      <c r="AH475" s="465">
        <f>IF(ISBLANK(Table2[[#This Row],[Instructor 2]]),0,1)</f>
        <v>0</v>
      </c>
      <c r="AI475" s="465">
        <f>Table2[[#This Row],[Course Length (Hours)]]/(SUM(Table2[[#This Row],[1]:[2]]))</f>
        <v>16</v>
      </c>
      <c r="AJ475" s="465">
        <v>98</v>
      </c>
      <c r="AK475" s="467">
        <v>4</v>
      </c>
    </row>
    <row r="476" spans="1:37" s="408" customFormat="1" x14ac:dyDescent="0.25">
      <c r="A476" s="463"/>
      <c r="B476" s="426" t="s">
        <v>57</v>
      </c>
      <c r="C476" s="463" t="str">
        <f>VLOOKUP(Table2[[#This Row],[Course Title]],'TSD-Data'!$A$1:$E$56,2,FALSE)</f>
        <v>A-493-0099</v>
      </c>
      <c r="D476" s="463" t="str">
        <f>VLOOKUP(Table2[[#This Row],[Course Title]],'TSD-Data'!$A$1:$E$56,3,FALSE)</f>
        <v>12JW</v>
      </c>
      <c r="E476" s="426" t="s">
        <v>86</v>
      </c>
      <c r="F476" s="428">
        <v>45888</v>
      </c>
      <c r="G476" s="428">
        <v>45890</v>
      </c>
      <c r="H476" s="464"/>
      <c r="I476" s="464">
        <v>0.45833333333333331</v>
      </c>
      <c r="J476" s="464">
        <v>0.33333333333333331</v>
      </c>
      <c r="K476" s="464">
        <v>0.75</v>
      </c>
      <c r="L476" s="464">
        <v>0.66666666666666663</v>
      </c>
      <c r="M476" s="464">
        <v>0.20833333333333334</v>
      </c>
      <c r="N476" s="464">
        <v>0</v>
      </c>
      <c r="O476" s="462" t="s">
        <v>305</v>
      </c>
      <c r="P476" s="462"/>
      <c r="Q476" s="365"/>
      <c r="R476" s="466">
        <f>VLOOKUP(Table2[[#This Row],[Course Title]],'TSD-Data'!$A$1:$E$56,4,FALSE)</f>
        <v>45</v>
      </c>
      <c r="S476" s="465">
        <f>VLOOKUP(Table2[[#This Row],[Course Title]],'TSD-Data'!$A$1:$F$53,6,FALSE)</f>
        <v>24</v>
      </c>
      <c r="T476" s="465">
        <f>VLOOKUP(Table2[[#This Row],[Course Title]],'TSD-Data'!$A$1:$E$56,5,FALSE)</f>
        <v>3</v>
      </c>
      <c r="U476" s="465">
        <v>718</v>
      </c>
      <c r="V476" s="465">
        <f>Table2[[#This Row],[Quotas]]-Table2[[#This Row],[Open Quotas]]</f>
        <v>1</v>
      </c>
      <c r="W476" s="465"/>
      <c r="X476" s="470"/>
      <c r="Y476" s="470"/>
      <c r="Z476" s="463"/>
      <c r="AA476" s="463"/>
      <c r="AB476" s="470"/>
      <c r="AC476" s="465"/>
      <c r="AD476" s="466">
        <f ca="1">Table2[[#This Row],[End Date]]+2-TODAY()</f>
        <v>115</v>
      </c>
      <c r="AE476" s="465">
        <f>IF(ISBLANK(Table2[[#This Row],[Received by]]),1,0)</f>
        <v>1</v>
      </c>
      <c r="AF476" s="465">
        <f ca="1">IF(Table2[[#This Row],[Start Date]]&gt;TODAY(),1,)</f>
        <v>1</v>
      </c>
      <c r="AG476" s="465">
        <f>IF(ISBLANK(Table2[[#This Row],[Primary Instructor]]),0,1)</f>
        <v>1</v>
      </c>
      <c r="AH476" s="465">
        <f>IF(ISBLANK(Table2[[#This Row],[Instructor 2]]),0,1)</f>
        <v>0</v>
      </c>
      <c r="AI476" s="465">
        <f>Table2[[#This Row],[Course Length (Hours)]]/(SUM(Table2[[#This Row],[1]:[2]]))</f>
        <v>24</v>
      </c>
      <c r="AJ476" s="465">
        <v>44</v>
      </c>
      <c r="AK476" s="467">
        <v>4</v>
      </c>
    </row>
    <row r="477" spans="1:37" s="408" customFormat="1" x14ac:dyDescent="0.25">
      <c r="A477" s="462"/>
      <c r="B477" s="426" t="s">
        <v>50</v>
      </c>
      <c r="C477" s="463" t="str">
        <f>VLOOKUP(Table2[[#This Row],[Course Title]],'TSD-Data'!$A$1:$E$56,2,FALSE)</f>
        <v>A-493-0331</v>
      </c>
      <c r="D477" s="463" t="str">
        <f>VLOOKUP(Table2[[#This Row],[Course Title]],'TSD-Data'!$A$1:$E$56,3,FALSE)</f>
        <v>10UG</v>
      </c>
      <c r="E477" s="426" t="s">
        <v>86</v>
      </c>
      <c r="F477" s="428">
        <v>45888</v>
      </c>
      <c r="G477" s="428">
        <v>45890</v>
      </c>
      <c r="H477" s="428"/>
      <c r="I477" s="469">
        <v>0.5</v>
      </c>
      <c r="J477" s="469">
        <v>0.375</v>
      </c>
      <c r="K477" s="469">
        <v>0.79166666666666663</v>
      </c>
      <c r="L477" s="469">
        <v>0.75</v>
      </c>
      <c r="M477" s="469">
        <v>0.25</v>
      </c>
      <c r="N477" s="469">
        <v>4.1666666666666664E-2</v>
      </c>
      <c r="O477" s="462" t="s">
        <v>275</v>
      </c>
      <c r="P477" s="462"/>
      <c r="Q477" s="365"/>
      <c r="R477" s="465">
        <f>VLOOKUP(Table2[[#This Row],[Course Title]],'TSD-Data'!$A$1:$E$56,4,FALSE)</f>
        <v>45</v>
      </c>
      <c r="S477" s="465">
        <f>VLOOKUP(Table2[[#This Row],[Course Title]],'TSD-Data'!$A$1:$F$53,6,FALSE)</f>
        <v>24</v>
      </c>
      <c r="T477" s="465">
        <f>VLOOKUP(Table2[[#This Row],[Course Title]],'TSD-Data'!$A$1:$E$56,5,FALSE)</f>
        <v>3</v>
      </c>
      <c r="U477" s="465">
        <v>805</v>
      </c>
      <c r="V477" s="465">
        <f>Table2[[#This Row],[Quotas]]-Table2[[#This Row],[Open Quotas]]</f>
        <v>5</v>
      </c>
      <c r="W477" s="465">
        <v>0</v>
      </c>
      <c r="X477" s="465"/>
      <c r="Y477" s="466"/>
      <c r="Z477" s="465"/>
      <c r="AA477" s="465"/>
      <c r="AB477" s="465"/>
      <c r="AC477" s="465"/>
      <c r="AD477" s="466">
        <f ca="1">Table2[[#This Row],[End Date]]+2-TODAY()</f>
        <v>115</v>
      </c>
      <c r="AE477" s="465">
        <f>IF(ISBLANK(Table2[[#This Row],[Received by]]),1,0)</f>
        <v>1</v>
      </c>
      <c r="AF477" s="465">
        <f ca="1">IF(Table2[[#This Row],[Start Date]]&gt;TODAY(),1,)</f>
        <v>1</v>
      </c>
      <c r="AG477" s="465">
        <f>IF(ISBLANK(Table2[[#This Row],[Primary Instructor]]),0,1)</f>
        <v>1</v>
      </c>
      <c r="AH477" s="465">
        <f>IF(ISBLANK(Table2[[#This Row],[Instructor 2]]),0,1)</f>
        <v>0</v>
      </c>
      <c r="AI477" s="465">
        <f>Table2[[#This Row],[Course Length (Hours)]]/(SUM(Table2[[#This Row],[1]:[2]]))</f>
        <v>24</v>
      </c>
      <c r="AJ477" s="465">
        <v>40</v>
      </c>
      <c r="AK477" s="467">
        <v>4</v>
      </c>
    </row>
    <row r="478" spans="1:37" s="408" customFormat="1" x14ac:dyDescent="0.25">
      <c r="A478" s="462"/>
      <c r="B478" s="426" t="s">
        <v>31</v>
      </c>
      <c r="C478" s="463" t="str">
        <f>VLOOKUP(Table2[[#This Row],[Course Title]],'TSD-Data'!$A$1:$E$56,2,FALSE)</f>
        <v>A-493-0083</v>
      </c>
      <c r="D478" s="463" t="str">
        <f>VLOOKUP(Table2[[#This Row],[Course Title]],'TSD-Data'!$A$1:$E$56,3,FALSE)</f>
        <v>339E</v>
      </c>
      <c r="E478" s="426" t="s">
        <v>220</v>
      </c>
      <c r="F478" s="428">
        <v>45890</v>
      </c>
      <c r="G478" s="428">
        <v>45890</v>
      </c>
      <c r="H478" s="464">
        <v>0.33333333333333331</v>
      </c>
      <c r="I478" s="464"/>
      <c r="J478" s="464"/>
      <c r="K478" s="464"/>
      <c r="L478" s="464"/>
      <c r="M478" s="464"/>
      <c r="N478" s="464"/>
      <c r="O478" s="462" t="s">
        <v>280</v>
      </c>
      <c r="P478" s="462"/>
      <c r="Q478" s="365"/>
      <c r="R478" s="465">
        <f>VLOOKUP(Table2[[#This Row],[Course Title]],'TSD-Data'!$A$1:$E$56,4,FALSE)</f>
        <v>30</v>
      </c>
      <c r="S478" s="465">
        <f>VLOOKUP(Table2[[#This Row],[Course Title]],'TSD-Data'!$A$1:$F$53,6,FALSE)</f>
        <v>8</v>
      </c>
      <c r="T478" s="465">
        <f>VLOOKUP(Table2[[#This Row],[Course Title]],'TSD-Data'!$A$1:$E$56,5,FALSE)</f>
        <v>1</v>
      </c>
      <c r="U478" s="465">
        <v>48</v>
      </c>
      <c r="V478" s="465">
        <f>Table2[[#This Row],[Quotas]]-Table2[[#This Row],[Open Quotas]]</f>
        <v>6</v>
      </c>
      <c r="W478" s="465"/>
      <c r="X478" s="465"/>
      <c r="Y478" s="466"/>
      <c r="Z478" s="465"/>
      <c r="AA478" s="465"/>
      <c r="AB478" s="463"/>
      <c r="AC478" s="465"/>
      <c r="AD478" s="466">
        <f ca="1">Table2[[#This Row],[End Date]]+2-TODAY()</f>
        <v>115</v>
      </c>
      <c r="AE478" s="465">
        <f>IF(ISBLANK(Table2[[#This Row],[Received by]]),1,0)</f>
        <v>1</v>
      </c>
      <c r="AF478" s="465">
        <f ca="1">IF(Table2[[#This Row],[Start Date]]&gt;TODAY(),1,)</f>
        <v>1</v>
      </c>
      <c r="AG478" s="465">
        <f>IF(ISBLANK(Table2[[#This Row],[Primary Instructor]]),0,1)</f>
        <v>1</v>
      </c>
      <c r="AH478" s="465">
        <f>IF(ISBLANK(Table2[[#This Row],[Instructor 2]]),0,1)</f>
        <v>0</v>
      </c>
      <c r="AI478" s="465">
        <f>Table2[[#This Row],[Course Length (Hours)]]/(SUM(Table2[[#This Row],[1]:[2]]))</f>
        <v>8</v>
      </c>
      <c r="AJ478" s="465">
        <v>24</v>
      </c>
      <c r="AK478" s="467">
        <v>4</v>
      </c>
    </row>
    <row r="479" spans="1:37" s="408" customFormat="1" x14ac:dyDescent="0.25">
      <c r="A479" s="462"/>
      <c r="B479" s="426" t="s">
        <v>55</v>
      </c>
      <c r="C479" s="463" t="str">
        <f>VLOOKUP(Table2[[#This Row],[Course Title]],'TSD-Data'!$A$1:$E$56,2,FALSE)</f>
        <v>A-493-0103</v>
      </c>
      <c r="D479" s="463" t="str">
        <f>VLOOKUP(Table2[[#This Row],[Course Title]],'TSD-Data'!$A$1:$E$56,3,FALSE)</f>
        <v>12JY</v>
      </c>
      <c r="E479" s="426" t="s">
        <v>198</v>
      </c>
      <c r="F479" s="451">
        <v>45894</v>
      </c>
      <c r="G479" s="428">
        <v>45898</v>
      </c>
      <c r="H479" s="464">
        <v>0.33333333333333331</v>
      </c>
      <c r="I479" s="469"/>
      <c r="J479" s="469"/>
      <c r="K479" s="469"/>
      <c r="L479" s="469"/>
      <c r="M479" s="469"/>
      <c r="N479" s="469"/>
      <c r="O479" s="462" t="s">
        <v>314</v>
      </c>
      <c r="P479" s="462"/>
      <c r="Q479" s="365"/>
      <c r="R479" s="465">
        <f>VLOOKUP(Table2[[#This Row],[Course Title]],'TSD-Data'!$A$1:$E$56,4,FALSE)</f>
        <v>25</v>
      </c>
      <c r="S479" s="465">
        <f>VLOOKUP(Table2[[#This Row],[Course Title]],'TSD-Data'!$A$1:$F$53,6,FALSE)</f>
        <v>40</v>
      </c>
      <c r="T479" s="465">
        <f>VLOOKUP(Table2[[#This Row],[Course Title]],'TSD-Data'!$A$1:$E$56,5,FALSE)</f>
        <v>5</v>
      </c>
      <c r="U479" s="465">
        <v>332</v>
      </c>
      <c r="V479" s="465">
        <f>Table2[[#This Row],[Quotas]]-Table2[[#This Row],[Open Quotas]]</f>
        <v>13</v>
      </c>
      <c r="W479" s="465"/>
      <c r="X479" s="465"/>
      <c r="Y479" s="466"/>
      <c r="Z479" s="465"/>
      <c r="AA479" s="465"/>
      <c r="AB479" s="465"/>
      <c r="AC479" s="465"/>
      <c r="AD479" s="466">
        <f ca="1">Table2[[#This Row],[End Date]]+2-TODAY()</f>
        <v>123</v>
      </c>
      <c r="AE479" s="465">
        <f>IF(ISBLANK(Table2[[#This Row],[Received by]]),1,0)</f>
        <v>1</v>
      </c>
      <c r="AF479" s="465">
        <f ca="1">IF(Table2[[#This Row],[Start Date]]&gt;TODAY(),1,)</f>
        <v>1</v>
      </c>
      <c r="AG479" s="465">
        <f>IF(ISBLANK(Table2[[#This Row],[Primary Instructor]]),0,1)</f>
        <v>1</v>
      </c>
      <c r="AH479" s="465">
        <f>IF(ISBLANK(Table2[[#This Row],[Instructor 2]]),0,1)</f>
        <v>0</v>
      </c>
      <c r="AI479" s="465">
        <f>Table2[[#This Row],[Course Length (Hours)]]/(SUM(Table2[[#This Row],[1]:[2]]))</f>
        <v>40</v>
      </c>
      <c r="AJ479" s="465">
        <v>12</v>
      </c>
      <c r="AK479" s="467">
        <v>4</v>
      </c>
    </row>
    <row r="480" spans="1:37" s="373" customFormat="1" x14ac:dyDescent="0.25">
      <c r="A480" s="426"/>
      <c r="B480" s="426" t="s">
        <v>47</v>
      </c>
      <c r="C480" s="463" t="str">
        <f>VLOOKUP(Table2[[#This Row],[Course Title]],'TSD-Data'!$A$1:$E$56,2,FALSE)</f>
        <v>A-493-0030</v>
      </c>
      <c r="D480" s="463" t="str">
        <f>VLOOKUP(Table2[[#This Row],[Course Title]],'TSD-Data'!$A$1:$E$56,3,FALSE)</f>
        <v>286X</v>
      </c>
      <c r="E480" s="426" t="s">
        <v>162</v>
      </c>
      <c r="F480" s="428">
        <v>45894</v>
      </c>
      <c r="G480" s="428">
        <v>45898</v>
      </c>
      <c r="H480" s="464">
        <v>0.33333333333333331</v>
      </c>
      <c r="I480" s="468"/>
      <c r="J480" s="428"/>
      <c r="K480" s="428"/>
      <c r="L480" s="428"/>
      <c r="M480" s="428"/>
      <c r="N480" s="428"/>
      <c r="O480" s="462" t="s">
        <v>322</v>
      </c>
      <c r="P480" s="462"/>
      <c r="Q480" s="365"/>
      <c r="R480" s="466">
        <f>VLOOKUP(Table2[[#This Row],[Course Title]],'TSD-Data'!$A$1:$E$56,4,FALSE)</f>
        <v>25</v>
      </c>
      <c r="S480" s="465">
        <f>VLOOKUP(Table2[[#This Row],[Course Title]],'TSD-Data'!$A$1:$F$53,6,FALSE)</f>
        <v>40</v>
      </c>
      <c r="T480" s="465">
        <f>VLOOKUP(Table2[[#This Row],[Course Title]],'TSD-Data'!$A$1:$E$56,5,FALSE)</f>
        <v>5</v>
      </c>
      <c r="U480" s="465">
        <v>6</v>
      </c>
      <c r="V480" s="465">
        <f>Table2[[#This Row],[Quotas]]-Table2[[#This Row],[Open Quotas]]</f>
        <v>5</v>
      </c>
      <c r="W480" s="465"/>
      <c r="X480" s="466"/>
      <c r="Y480" s="466"/>
      <c r="Z480" s="465"/>
      <c r="AA480" s="465"/>
      <c r="AB480" s="463"/>
      <c r="AC480" s="465"/>
      <c r="AD480" s="466">
        <f ca="1">Table2[[#This Row],[End Date]]+2-TODAY()</f>
        <v>123</v>
      </c>
      <c r="AE480" s="465">
        <f>IF(ISBLANK(Table2[[#This Row],[Received by]]),1,0)</f>
        <v>1</v>
      </c>
      <c r="AF480" s="465">
        <f ca="1">IF(Table2[[#This Row],[Start Date]]&gt;TODAY(),1,)</f>
        <v>1</v>
      </c>
      <c r="AG480" s="465">
        <f>IF(ISBLANK(Table2[[#This Row],[Primary Instructor]]),0,1)</f>
        <v>1</v>
      </c>
      <c r="AH480" s="465">
        <f>IF(ISBLANK(Table2[[#This Row],[Instructor 2]]),0,1)</f>
        <v>0</v>
      </c>
      <c r="AI480" s="465">
        <f>Table2[[#This Row],[Course Length (Hours)]]/(SUM(Table2[[#This Row],[1]:[2]]))</f>
        <v>40</v>
      </c>
      <c r="AJ480" s="465">
        <v>20</v>
      </c>
      <c r="AK480" s="467">
        <v>4</v>
      </c>
    </row>
    <row r="481" spans="1:37" s="408" customFormat="1" x14ac:dyDescent="0.25">
      <c r="A481" s="462"/>
      <c r="B481" s="426" t="s">
        <v>17</v>
      </c>
      <c r="C481" s="463" t="str">
        <f>VLOOKUP(Table2[[#This Row],[Course Title]],'TSD-Data'!$A$1:$E$56,2,FALSE)</f>
        <v>A-493-0012</v>
      </c>
      <c r="D481" s="463">
        <f>VLOOKUP(Table2[[#This Row],[Course Title]],'TSD-Data'!$A$1:$E$56,3,FALSE)</f>
        <v>3682</v>
      </c>
      <c r="E481" s="426" t="s">
        <v>202</v>
      </c>
      <c r="F481" s="428">
        <v>45894</v>
      </c>
      <c r="G481" s="428">
        <v>45898</v>
      </c>
      <c r="H481" s="464">
        <v>0.33333333333333331</v>
      </c>
      <c r="I481" s="469"/>
      <c r="J481" s="469"/>
      <c r="K481" s="469"/>
      <c r="L481" s="469"/>
      <c r="M481" s="469"/>
      <c r="N481" s="469"/>
      <c r="O481" s="462" t="s">
        <v>257</v>
      </c>
      <c r="P481" s="462"/>
      <c r="Q481" s="365"/>
      <c r="R481" s="465">
        <f>VLOOKUP(Table2[[#This Row],[Course Title]],'TSD-Data'!$A$1:$E$56,4,FALSE)</f>
        <v>40</v>
      </c>
      <c r="S481" s="465">
        <f>VLOOKUP(Table2[[#This Row],[Course Title]],'TSD-Data'!$A$1:$F$53,6,FALSE)</f>
        <v>40</v>
      </c>
      <c r="T481" s="465">
        <f>VLOOKUP(Table2[[#This Row],[Course Title]],'TSD-Data'!$A$1:$E$56,5,FALSE)</f>
        <v>5</v>
      </c>
      <c r="U481" s="465">
        <v>30</v>
      </c>
      <c r="V481" s="465">
        <f ca="1">Table2[[#This Row],[Quotas]]-Table2[[#This Row],[Open Quotas]]</f>
        <v>0</v>
      </c>
      <c r="W481" s="465"/>
      <c r="X481" s="465"/>
      <c r="Y481" s="466"/>
      <c r="Z481" s="465"/>
      <c r="AA481" s="465"/>
      <c r="AB481" s="463"/>
      <c r="AC481" s="465"/>
      <c r="AD481" s="466">
        <f ca="1">Table2[[#This Row],[End Date]]+2-TODAY()</f>
        <v>123</v>
      </c>
      <c r="AE481" s="465">
        <f>IF(ISBLANK(Table2[[#This Row],[Received by]]),1,0)</f>
        <v>1</v>
      </c>
      <c r="AF481" s="465">
        <f ca="1">IF(Table2[[#This Row],[Start Date]]&gt;TODAY(),1,)</f>
        <v>1</v>
      </c>
      <c r="AG481" s="465">
        <f>IF(ISBLANK(Table2[[#This Row],[Primary Instructor]]),0,1)</f>
        <v>1</v>
      </c>
      <c r="AH481" s="465">
        <f>IF(ISBLANK(Table2[[#This Row],[Instructor 2]]),0,1)</f>
        <v>0</v>
      </c>
      <c r="AI481" s="465">
        <f>Table2[[#This Row],[Course Length (Hours)]]/(SUM(Table2[[#This Row],[1]:[2]]))</f>
        <v>40</v>
      </c>
      <c r="AJ481" s="465">
        <f ca="1">Table2[[#This Row],[Quotas]]-Table2[[#This Row],[Registered]]</f>
        <v>40</v>
      </c>
      <c r="AK481" s="467">
        <v>4</v>
      </c>
    </row>
    <row r="482" spans="1:37" s="408" customFormat="1" x14ac:dyDescent="0.25">
      <c r="A482" s="462"/>
      <c r="B482" s="426" t="s">
        <v>38</v>
      </c>
      <c r="C482" s="463" t="str">
        <f>VLOOKUP(Table2[[#This Row],[Course Title]],'TSD-Data'!$A$1:$E$56,2,FALSE)</f>
        <v>A-493-0061</v>
      </c>
      <c r="D482" s="463" t="str">
        <f>VLOOKUP(Table2[[#This Row],[Course Title]],'TSD-Data'!$A$1:$E$56,3,FALSE)</f>
        <v>288E</v>
      </c>
      <c r="E482" s="426" t="s">
        <v>86</v>
      </c>
      <c r="F482" s="428">
        <v>45894</v>
      </c>
      <c r="G482" s="428">
        <v>45897</v>
      </c>
      <c r="H482" s="464"/>
      <c r="I482" s="464">
        <v>0.29166666666666669</v>
      </c>
      <c r="J482" s="464">
        <v>0.16666666666666666</v>
      </c>
      <c r="K482" s="464">
        <v>0.58333333333333337</v>
      </c>
      <c r="L482" s="464">
        <v>0.5</v>
      </c>
      <c r="M482" s="464">
        <v>4.1666666666666664E-2</v>
      </c>
      <c r="N482" s="464">
        <v>0.83333333333333337</v>
      </c>
      <c r="O482" s="462" t="s">
        <v>303</v>
      </c>
      <c r="P482" s="462"/>
      <c r="Q482" s="365"/>
      <c r="R482" s="466">
        <f>VLOOKUP(Table2[[#This Row],[Course Title]],'TSD-Data'!$A$1:$E$56,4,FALSE)</f>
        <v>45</v>
      </c>
      <c r="S482" s="465">
        <f>VLOOKUP(Table2[[#This Row],[Course Title]],'TSD-Data'!$A$1:$F$53,6,FALSE)</f>
        <v>30</v>
      </c>
      <c r="T482" s="465">
        <f>VLOOKUP(Table2[[#This Row],[Course Title]],'TSD-Data'!$A$1:$E$56,5,FALSE)</f>
        <v>4</v>
      </c>
      <c r="U482" s="465">
        <v>59</v>
      </c>
      <c r="V482" s="465">
        <f>Table2[[#This Row],[Quotas]]-Table2[[#This Row],[Open Quotas]]</f>
        <v>1</v>
      </c>
      <c r="W482" s="465"/>
      <c r="X482" s="466"/>
      <c r="Y482" s="466"/>
      <c r="Z482" s="465"/>
      <c r="AA482" s="465"/>
      <c r="AB482" s="463"/>
      <c r="AC482" s="465"/>
      <c r="AD482" s="466">
        <f ca="1">Table2[[#This Row],[End Date]]+2-TODAY()</f>
        <v>122</v>
      </c>
      <c r="AE482" s="465">
        <f>IF(ISBLANK(Table2[[#This Row],[Received by]]),1,0)</f>
        <v>1</v>
      </c>
      <c r="AF482" s="465">
        <f ca="1">IF(Table2[[#This Row],[Start Date]]&gt;TODAY(),1,)</f>
        <v>1</v>
      </c>
      <c r="AG482" s="465">
        <f>IF(ISBLANK(Table2[[#This Row],[Primary Instructor]]),0,1)</f>
        <v>1</v>
      </c>
      <c r="AH482" s="465">
        <f>IF(ISBLANK(Table2[[#This Row],[Instructor 2]]),0,1)</f>
        <v>0</v>
      </c>
      <c r="AI482" s="465">
        <f>Table2[[#This Row],[Course Length (Hours)]]/(SUM(Table2[[#This Row],[1]:[2]]))</f>
        <v>30</v>
      </c>
      <c r="AJ482" s="465">
        <v>44</v>
      </c>
      <c r="AK482" s="467">
        <v>4</v>
      </c>
    </row>
    <row r="483" spans="1:37" s="408" customFormat="1" x14ac:dyDescent="0.25">
      <c r="A483" s="462"/>
      <c r="B483" s="426" t="s">
        <v>61</v>
      </c>
      <c r="C483" s="463" t="str">
        <f>VLOOKUP(Table2[[#This Row],[Course Title]],'TSD-Data'!$A$1:$E$56,2,FALSE)</f>
        <v>A-493-0078</v>
      </c>
      <c r="D483" s="463">
        <f>VLOOKUP(Table2[[#This Row],[Course Title]],'TSD-Data'!$A$1:$E$56,3,FALSE)</f>
        <v>1228</v>
      </c>
      <c r="E483" s="426" t="s">
        <v>86</v>
      </c>
      <c r="F483" s="428">
        <v>45894</v>
      </c>
      <c r="G483" s="428">
        <v>45897</v>
      </c>
      <c r="H483" s="464"/>
      <c r="I483" s="464">
        <v>0.33333333333333331</v>
      </c>
      <c r="J483" s="464">
        <v>0.20833333333333334</v>
      </c>
      <c r="K483" s="464">
        <v>0.625</v>
      </c>
      <c r="L483" s="464">
        <v>0.54166666666666663</v>
      </c>
      <c r="M483" s="464">
        <v>8.3333333333333329E-2</v>
      </c>
      <c r="N483" s="464">
        <v>0.875</v>
      </c>
      <c r="O483" s="462" t="s">
        <v>304</v>
      </c>
      <c r="P483" s="462"/>
      <c r="Q483" s="365"/>
      <c r="R483" s="465">
        <f>VLOOKUP(Table2[[#This Row],[Course Title]],'TSD-Data'!$A$1:$E$56,4,FALSE)</f>
        <v>45</v>
      </c>
      <c r="S483" s="465">
        <f>VLOOKUP(Table2[[#This Row],[Course Title]],'TSD-Data'!$A$1:$F$53,6,FALSE)</f>
        <v>32</v>
      </c>
      <c r="T483" s="465">
        <f>VLOOKUP(Table2[[#This Row],[Course Title]],'TSD-Data'!$A$1:$E$56,5,FALSE)</f>
        <v>4</v>
      </c>
      <c r="U483" s="465">
        <v>508</v>
      </c>
      <c r="V483" s="465">
        <f>Table2[[#This Row],[Quotas]]-Table2[[#This Row],[Open Quotas]]</f>
        <v>2</v>
      </c>
      <c r="W483" s="465"/>
      <c r="X483" s="466"/>
      <c r="Y483" s="466"/>
      <c r="Z483" s="465"/>
      <c r="AA483" s="465"/>
      <c r="AB483" s="465"/>
      <c r="AC483" s="465"/>
      <c r="AD483" s="466">
        <f ca="1">Table2[[#This Row],[End Date]]+2-TODAY()</f>
        <v>122</v>
      </c>
      <c r="AE483" s="465">
        <f>IF(ISBLANK(Table2[[#This Row],[Received by]]),1,0)</f>
        <v>1</v>
      </c>
      <c r="AF483" s="465">
        <f ca="1">IF(Table2[[#This Row],[Start Date]]&gt;TODAY(),1,)</f>
        <v>1</v>
      </c>
      <c r="AG483" s="465">
        <f>IF(ISBLANK(Table2[[#This Row],[Primary Instructor]]),0,1)</f>
        <v>1</v>
      </c>
      <c r="AH483" s="465">
        <f>IF(ISBLANK(Table2[[#This Row],[Instructor 2]]),0,1)</f>
        <v>0</v>
      </c>
      <c r="AI483" s="465">
        <f>Table2[[#This Row],[Course Length (Hours)]]/(SUM(Table2[[#This Row],[1]:[2]]))</f>
        <v>32</v>
      </c>
      <c r="AJ483" s="465">
        <v>43</v>
      </c>
      <c r="AK483" s="467">
        <v>4</v>
      </c>
    </row>
    <row r="484" spans="1:37" s="408" customFormat="1" x14ac:dyDescent="0.25">
      <c r="A484" s="462"/>
      <c r="B484" s="426" t="s">
        <v>52</v>
      </c>
      <c r="C484" s="463" t="str">
        <f>VLOOKUP(Table2[[#This Row],[Course Title]],'TSD-Data'!$A$1:$E$56,2,FALSE)</f>
        <v>A-493-0085</v>
      </c>
      <c r="D484" s="463">
        <f>VLOOKUP(Table2[[#This Row],[Course Title]],'TSD-Data'!$A$1:$E$56,3,FALSE)</f>
        <v>3555</v>
      </c>
      <c r="E484" s="426" t="s">
        <v>86</v>
      </c>
      <c r="F484" s="451">
        <v>45894</v>
      </c>
      <c r="G484" s="451">
        <v>45897</v>
      </c>
      <c r="H484" s="451"/>
      <c r="I484" s="469">
        <v>0.5</v>
      </c>
      <c r="J484" s="469">
        <v>0.375</v>
      </c>
      <c r="K484" s="469">
        <v>0.79166666666666663</v>
      </c>
      <c r="L484" s="469">
        <v>0.75</v>
      </c>
      <c r="M484" s="469">
        <v>0.25</v>
      </c>
      <c r="N484" s="469">
        <v>4.1666666666666664E-2</v>
      </c>
      <c r="O484" s="462" t="s">
        <v>277</v>
      </c>
      <c r="P484" s="462"/>
      <c r="Q484" s="365"/>
      <c r="R484" s="465">
        <f>VLOOKUP(Table2[[#This Row],[Course Title]],'TSD-Data'!$A$1:$E$56,4,FALSE)</f>
        <v>45</v>
      </c>
      <c r="S484" s="465">
        <f>VLOOKUP(Table2[[#This Row],[Course Title]],'TSD-Data'!$A$1:$F$53,6,FALSE)</f>
        <v>32</v>
      </c>
      <c r="T484" s="465">
        <f>VLOOKUP(Table2[[#This Row],[Course Title]],'TSD-Data'!$A$1:$E$56,5,FALSE)</f>
        <v>4</v>
      </c>
      <c r="U484" s="465">
        <v>503</v>
      </c>
      <c r="V484" s="465">
        <f ca="1">Table2[[#This Row],[Quotas]]-Table2[[#This Row],[Open Quotas]]</f>
        <v>0</v>
      </c>
      <c r="W484" s="465"/>
      <c r="X484" s="465"/>
      <c r="Y484" s="466"/>
      <c r="Z484" s="465"/>
      <c r="AA484" s="465"/>
      <c r="AB484" s="465"/>
      <c r="AC484" s="465"/>
      <c r="AD484" s="466">
        <f ca="1">Table2[[#This Row],[End Date]]+2-TODAY()</f>
        <v>122</v>
      </c>
      <c r="AE484" s="465">
        <f>IF(ISBLANK(Table2[[#This Row],[Received by]]),1,0)</f>
        <v>1</v>
      </c>
      <c r="AF484" s="465">
        <f ca="1">IF(Table2[[#This Row],[Start Date]]&gt;TODAY(),1,)</f>
        <v>1</v>
      </c>
      <c r="AG484" s="465">
        <f>IF(ISBLANK(Table2[[#This Row],[Primary Instructor]]),0,1)</f>
        <v>1</v>
      </c>
      <c r="AH484" s="465">
        <f>IF(ISBLANK(Table2[[#This Row],[Instructor 2]]),0,1)</f>
        <v>0</v>
      </c>
      <c r="AI484" s="465">
        <f>Table2[[#This Row],[Course Length (Hours)]]/(SUM(Table2[[#This Row],[1]:[2]]))</f>
        <v>32</v>
      </c>
      <c r="AJ484" s="465">
        <f ca="1">Table2[[#This Row],[Quotas]]-Table2[[#This Row],[Registered]]</f>
        <v>45</v>
      </c>
      <c r="AK484" s="467">
        <v>4</v>
      </c>
    </row>
    <row r="485" spans="1:37" s="408" customFormat="1" x14ac:dyDescent="0.25">
      <c r="A485" s="462"/>
      <c r="B485" s="426" t="s">
        <v>53</v>
      </c>
      <c r="C485" s="463" t="str">
        <f>VLOOKUP(Table2[[#This Row],[Course Title]],'TSD-Data'!$A$1:$E$56,2,FALSE)</f>
        <v>A-493-0072</v>
      </c>
      <c r="D485" s="463" t="str">
        <f>VLOOKUP(Table2[[#This Row],[Course Title]],'TSD-Data'!$A$1:$E$56,3,FALSE)</f>
        <v>713U</v>
      </c>
      <c r="E485" s="473" t="s">
        <v>174</v>
      </c>
      <c r="F485" s="451">
        <v>45894</v>
      </c>
      <c r="G485" s="428">
        <v>45898</v>
      </c>
      <c r="H485" s="464">
        <v>0.33333333333333331</v>
      </c>
      <c r="I485" s="464"/>
      <c r="J485" s="428"/>
      <c r="K485" s="428"/>
      <c r="L485" s="428"/>
      <c r="M485" s="428"/>
      <c r="N485" s="428"/>
      <c r="O485" s="462" t="s">
        <v>318</v>
      </c>
      <c r="P485" s="462"/>
      <c r="Q485" s="431" t="s">
        <v>286</v>
      </c>
      <c r="R485" s="465">
        <f>VLOOKUP(Table2[[#This Row],[Course Title]],'TSD-Data'!$A$1:$E$56,4,FALSE)</f>
        <v>30</v>
      </c>
      <c r="S485" s="465">
        <f>VLOOKUP(Table2[[#This Row],[Course Title]],'TSD-Data'!$A$1:$F$53,6,FALSE)</f>
        <v>40</v>
      </c>
      <c r="T485" s="465">
        <f>VLOOKUP(Table2[[#This Row],[Course Title]],'TSD-Data'!$A$1:$E$56,5,FALSE)</f>
        <v>5</v>
      </c>
      <c r="U485" s="465">
        <v>22</v>
      </c>
      <c r="V485" s="465">
        <f ca="1">Table2[[#This Row],[Quotas]]-Table2[[#This Row],[Open Quotas]]</f>
        <v>0</v>
      </c>
      <c r="W485" s="465"/>
      <c r="X485" s="465"/>
      <c r="Y485" s="466"/>
      <c r="Z485" s="465"/>
      <c r="AA485" s="465"/>
      <c r="AB485" s="463"/>
      <c r="AC485" s="465"/>
      <c r="AD485" s="466">
        <f ca="1">Table2[[#This Row],[End Date]]+2-TODAY()</f>
        <v>123</v>
      </c>
      <c r="AE485" s="465">
        <f>IF(ISBLANK(Table2[[#This Row],[Received by]]),1,0)</f>
        <v>1</v>
      </c>
      <c r="AF485" s="465">
        <f ca="1">IF(Table2[[#This Row],[Start Date]]&gt;TODAY(),1,)</f>
        <v>1</v>
      </c>
      <c r="AG485" s="465">
        <f>IF(ISBLANK(Table2[[#This Row],[Primary Instructor]]),0,1)</f>
        <v>1</v>
      </c>
      <c r="AH485" s="465">
        <f>IF(ISBLANK(Table2[[#This Row],[Instructor 2]]),0,1)</f>
        <v>0</v>
      </c>
      <c r="AI485" s="465">
        <f>Table2[[#This Row],[Course Length (Hours)]]/(SUM(Table2[[#This Row],[1]:[2]]))</f>
        <v>40</v>
      </c>
      <c r="AJ485" s="465">
        <f ca="1">Table2[[#This Row],[Quotas]]-Table2[[#This Row],[Registered]]</f>
        <v>30</v>
      </c>
      <c r="AK485" s="467">
        <v>4</v>
      </c>
    </row>
    <row r="486" spans="1:37" s="408" customFormat="1" x14ac:dyDescent="0.25">
      <c r="A486" s="462"/>
      <c r="B486" s="426" t="s">
        <v>28</v>
      </c>
      <c r="C486" s="463" t="str">
        <f>VLOOKUP(Table2[[#This Row],[Course Title]],'TSD-Data'!$A$1:$E$56,2,FALSE)</f>
        <v>A-493-0013</v>
      </c>
      <c r="D486" s="463">
        <f>VLOOKUP(Table2[[#This Row],[Course Title]],'TSD-Data'!$A$1:$E$56,3,FALSE)</f>
        <v>3683</v>
      </c>
      <c r="E486" s="426" t="s">
        <v>174</v>
      </c>
      <c r="F486" s="428">
        <v>45895</v>
      </c>
      <c r="G486" s="428">
        <v>45897</v>
      </c>
      <c r="H486" s="464">
        <v>0.33333333333333331</v>
      </c>
      <c r="I486" s="469"/>
      <c r="J486" s="469"/>
      <c r="K486" s="469"/>
      <c r="L486" s="469"/>
      <c r="M486" s="469"/>
      <c r="N486" s="469"/>
      <c r="O486" s="462" t="s">
        <v>283</v>
      </c>
      <c r="P486" s="462"/>
      <c r="Q486" s="365"/>
      <c r="R486" s="465">
        <f>VLOOKUP(Table2[[#This Row],[Course Title]],'TSD-Data'!$A$1:$E$56,4,FALSE)</f>
        <v>40</v>
      </c>
      <c r="S486" s="465">
        <f>VLOOKUP(Table2[[#This Row],[Course Title]],'TSD-Data'!$A$1:$F$53,6,FALSE)</f>
        <v>24</v>
      </c>
      <c r="T486" s="465">
        <f>VLOOKUP(Table2[[#This Row],[Course Title]],'TSD-Data'!$A$1:$E$56,5,FALSE)</f>
        <v>3</v>
      </c>
      <c r="U486" s="465">
        <v>5</v>
      </c>
      <c r="V486" s="465">
        <f ca="1">Table2[[#This Row],[Quotas]]-Table2[[#This Row],[Open Quotas]]</f>
        <v>0</v>
      </c>
      <c r="W486" s="465"/>
      <c r="X486" s="465"/>
      <c r="Y486" s="466"/>
      <c r="Z486" s="465"/>
      <c r="AA486" s="465"/>
      <c r="AB486" s="463"/>
      <c r="AC486" s="465"/>
      <c r="AD486" s="466">
        <f ca="1">Table2[[#This Row],[End Date]]+2-TODAY()</f>
        <v>122</v>
      </c>
      <c r="AE486" s="465">
        <f>IF(ISBLANK(Table2[[#This Row],[Received by]]),1,0)</f>
        <v>1</v>
      </c>
      <c r="AF486" s="465">
        <f ca="1">IF(Table2[[#This Row],[Start Date]]&gt;TODAY(),1,)</f>
        <v>1</v>
      </c>
      <c r="AG486" s="465">
        <f>IF(ISBLANK(Table2[[#This Row],[Primary Instructor]]),0,1)</f>
        <v>1</v>
      </c>
      <c r="AH486" s="465">
        <f>IF(ISBLANK(Table2[[#This Row],[Instructor 2]]),0,1)</f>
        <v>0</v>
      </c>
      <c r="AI486" s="465">
        <f>Table2[[#This Row],[Course Length (Hours)]]/(SUM(Table2[[#This Row],[1]:[2]]))</f>
        <v>24</v>
      </c>
      <c r="AJ486" s="465">
        <f ca="1">Table2[[#This Row],[Quotas]]-Table2[[#This Row],[Registered]]</f>
        <v>40</v>
      </c>
      <c r="AK486" s="467">
        <v>4</v>
      </c>
    </row>
    <row r="487" spans="1:37" s="408" customFormat="1" x14ac:dyDescent="0.25">
      <c r="A487" s="462"/>
      <c r="B487" s="426" t="s">
        <v>58</v>
      </c>
      <c r="C487" s="463" t="str">
        <f>VLOOKUP(Table2[[#This Row],[Course Title]],'TSD-Data'!$A$1:$E$56,2,FALSE)</f>
        <v xml:space="preserve">A-493-0075 </v>
      </c>
      <c r="D487" s="463" t="str">
        <f>VLOOKUP(Table2[[#This Row],[Course Title]],'TSD-Data'!$A$1:$E$56,3,FALSE)</f>
        <v>714U</v>
      </c>
      <c r="E487" s="462" t="s">
        <v>205</v>
      </c>
      <c r="F487" s="451">
        <v>45895</v>
      </c>
      <c r="G487" s="451">
        <v>45898</v>
      </c>
      <c r="H487" s="464">
        <v>0.33333333333333331</v>
      </c>
      <c r="I487" s="469"/>
      <c r="J487" s="428"/>
      <c r="K487" s="428"/>
      <c r="L487" s="428"/>
      <c r="M487" s="428"/>
      <c r="N487" s="428"/>
      <c r="O487" s="462" t="s">
        <v>314</v>
      </c>
      <c r="P487" s="462"/>
      <c r="Q487" s="365"/>
      <c r="R487" s="465">
        <f>VLOOKUP(Table2[[#This Row],[Course Title]],'TSD-Data'!$A$1:$E$56,4,FALSE)</f>
        <v>30</v>
      </c>
      <c r="S487" s="465">
        <f>VLOOKUP(Table2[[#This Row],[Course Title]],'TSD-Data'!$A$1:$F$53,6,FALSE)</f>
        <v>32</v>
      </c>
      <c r="T487" s="465">
        <f>VLOOKUP(Table2[[#This Row],[Course Title]],'TSD-Data'!$A$1:$E$56,5,FALSE)</f>
        <v>4</v>
      </c>
      <c r="U487" s="465">
        <v>57</v>
      </c>
      <c r="V487" s="465">
        <f ca="1">Table2[[#This Row],[Quotas]]-Table2[[#This Row],[Open Quotas]]</f>
        <v>0</v>
      </c>
      <c r="W487" s="465"/>
      <c r="X487" s="465"/>
      <c r="Y487" s="466"/>
      <c r="Z487" s="465"/>
      <c r="AA487" s="465"/>
      <c r="AB487" s="465"/>
      <c r="AC487" s="465"/>
      <c r="AD487" s="466">
        <f ca="1">Table2[[#This Row],[End Date]]+2-TODAY()</f>
        <v>123</v>
      </c>
      <c r="AE487" s="465">
        <f>IF(ISBLANK(Table2[[#This Row],[Received by]]),1,0)</f>
        <v>1</v>
      </c>
      <c r="AF487" s="465">
        <f ca="1">IF(Table2[[#This Row],[Start Date]]&gt;TODAY(),1,)</f>
        <v>1</v>
      </c>
      <c r="AG487" s="465">
        <f>IF(ISBLANK(Table2[[#This Row],[Primary Instructor]]),0,1)</f>
        <v>1</v>
      </c>
      <c r="AH487" s="465">
        <f>IF(ISBLANK(Table2[[#This Row],[Instructor 2]]),0,1)</f>
        <v>0</v>
      </c>
      <c r="AI487" s="465">
        <f>Table2[[#This Row],[Course Length (Hours)]]/(SUM(Table2[[#This Row],[1]:[2]]))</f>
        <v>32</v>
      </c>
      <c r="AJ487" s="465">
        <f ca="1">Table2[[#This Row],[Quotas]]-Table2[[#This Row],[Registered]]</f>
        <v>30</v>
      </c>
      <c r="AK487" s="467">
        <v>4</v>
      </c>
    </row>
    <row r="488" spans="1:37" s="408" customFormat="1" x14ac:dyDescent="0.25">
      <c r="A488" s="426" t="s">
        <v>445</v>
      </c>
      <c r="B488" s="426" t="s">
        <v>223</v>
      </c>
      <c r="C488" s="463" t="str">
        <f>VLOOKUP(Table2[[#This Row],[Course Title]],'TSD-Data'!$A$1:$E$56,2,FALSE)</f>
        <v>Holiday</v>
      </c>
      <c r="D488" s="463" t="str">
        <f>VLOOKUP(Table2[[#This Row],[Course Title]],'TSD-Data'!$A$1:$E$56,3,FALSE)</f>
        <v>Holiday</v>
      </c>
      <c r="E488" s="426" t="s">
        <v>223</v>
      </c>
      <c r="F488" s="428">
        <v>45901</v>
      </c>
      <c r="G488" s="428">
        <v>45901</v>
      </c>
      <c r="H488" s="464"/>
      <c r="I488" s="464"/>
      <c r="J488" s="428"/>
      <c r="K488" s="428"/>
      <c r="L488" s="428"/>
      <c r="M488" s="428"/>
      <c r="N488" s="428"/>
      <c r="O488" s="462"/>
      <c r="P488" s="462"/>
      <c r="Q488" s="365"/>
      <c r="R488" s="465">
        <f>VLOOKUP(Table2[[#This Row],[Course Title]],'TSD-Data'!$A$1:$E$56,4,FALSE)</f>
        <v>0</v>
      </c>
      <c r="S488" s="465">
        <f>VLOOKUP(Table2[[#This Row],[Course Title]],'TSD-Data'!$A$1:$F$53,6,FALSE)</f>
        <v>0</v>
      </c>
      <c r="T488" s="465">
        <f>VLOOKUP(Table2[[#This Row],[Course Title]],'TSD-Data'!$A$1:$E$56,5,FALSE)</f>
        <v>0</v>
      </c>
      <c r="U488" s="465">
        <v>0</v>
      </c>
      <c r="V488" s="465">
        <f>Table2[[#This Row],[Quotas]]-Table2[[#This Row],[Open Quotas]]</f>
        <v>0</v>
      </c>
      <c r="W488" s="465">
        <v>0</v>
      </c>
      <c r="X488" s="465">
        <v>0</v>
      </c>
      <c r="Y488" s="465">
        <v>0</v>
      </c>
      <c r="Z488" s="465">
        <v>0</v>
      </c>
      <c r="AA488" s="465">
        <v>0</v>
      </c>
      <c r="AB488" s="465">
        <v>0</v>
      </c>
      <c r="AC488" s="465" t="s">
        <v>285</v>
      </c>
      <c r="AD488" s="466">
        <f ca="1">Table2[[#This Row],[End Date]]+2-TODAY()</f>
        <v>126</v>
      </c>
      <c r="AE488" s="465">
        <f>IF(ISBLANK(Table2[[#This Row],[Received by]]),1,0)</f>
        <v>0</v>
      </c>
      <c r="AF488" s="465">
        <f ca="1">IF(Table2[[#This Row],[Start Date]]&gt;TODAY(),1,)</f>
        <v>1</v>
      </c>
      <c r="AG488" s="465">
        <f>IF(ISBLANK(Table2[[#This Row],[Primary Instructor]]),0,1)</f>
        <v>0</v>
      </c>
      <c r="AH488" s="465">
        <f>IF(ISBLANK(Table2[[#This Row],[Instructor 2]]),0,1)</f>
        <v>0</v>
      </c>
      <c r="AI488" s="465" t="e">
        <f>Table2[[#This Row],[Course Length (Hours)]]/(SUM(Table2[[#This Row],[1]:[2]]))</f>
        <v>#DIV/0!</v>
      </c>
      <c r="AJ488" s="465"/>
      <c r="AK488" s="467"/>
    </row>
    <row r="489" spans="1:37" s="408" customFormat="1" x14ac:dyDescent="0.25">
      <c r="A489" s="462" t="s">
        <v>536</v>
      </c>
      <c r="B489" s="426" t="s">
        <v>28</v>
      </c>
      <c r="C489" s="463" t="str">
        <f>VLOOKUP(Table2[[#This Row],[Course Title]],'TSD-Data'!$A$1:$E$56,2,FALSE)</f>
        <v>A-493-0013</v>
      </c>
      <c r="D489" s="463">
        <f>VLOOKUP(Table2[[#This Row],[Course Title]],'TSD-Data'!$A$1:$E$56,3,FALSE)</f>
        <v>3683</v>
      </c>
      <c r="E489" s="426" t="s">
        <v>165</v>
      </c>
      <c r="F489" s="428">
        <v>45902</v>
      </c>
      <c r="G489" s="428">
        <v>45903</v>
      </c>
      <c r="H489" s="464">
        <v>0.33333333333333331</v>
      </c>
      <c r="I489" s="469"/>
      <c r="J489" s="469"/>
      <c r="K489" s="469"/>
      <c r="L489" s="469"/>
      <c r="M489" s="469"/>
      <c r="N489" s="469"/>
      <c r="O489" s="462" t="s">
        <v>257</v>
      </c>
      <c r="P489" s="462"/>
      <c r="Q489" s="365"/>
      <c r="R489" s="465">
        <f>VLOOKUP(Table2[[#This Row],[Course Title]],'TSD-Data'!$A$1:$E$56,4,FALSE)</f>
        <v>40</v>
      </c>
      <c r="S489" s="465">
        <f>VLOOKUP(Table2[[#This Row],[Course Title]],'TSD-Data'!$A$1:$F$53,6,FALSE)</f>
        <v>24</v>
      </c>
      <c r="T489" s="465">
        <f>VLOOKUP(Table2[[#This Row],[Course Title]],'TSD-Data'!$A$1:$E$56,5,FALSE)</f>
        <v>3</v>
      </c>
      <c r="U489" s="465">
        <v>0</v>
      </c>
      <c r="V489" s="465">
        <f ca="1">Table2[[#This Row],[Quotas]]-Table2[[#This Row],[Open Quotas]]</f>
        <v>0</v>
      </c>
      <c r="W489" s="465"/>
      <c r="X489" s="465"/>
      <c r="Y489" s="466"/>
      <c r="Z489" s="465"/>
      <c r="AA489" s="465"/>
      <c r="AB489" s="463"/>
      <c r="AC489" s="465"/>
      <c r="AD489" s="466">
        <f ca="1">Table2[[#This Row],[End Date]]+2-TODAY()</f>
        <v>128</v>
      </c>
      <c r="AE489" s="465">
        <f>IF(ISBLANK(Table2[[#This Row],[Received by]]),1,0)</f>
        <v>1</v>
      </c>
      <c r="AF489" s="465">
        <f ca="1">IF(Table2[[#This Row],[Start Date]]&gt;TODAY(),1,)</f>
        <v>1</v>
      </c>
      <c r="AG489" s="465">
        <f>IF(ISBLANK(Table2[[#This Row],[Primary Instructor]]),0,1)</f>
        <v>1</v>
      </c>
      <c r="AH489" s="465">
        <f>IF(ISBLANK(Table2[[#This Row],[Instructor 2]]),0,1)</f>
        <v>0</v>
      </c>
      <c r="AI489" s="465">
        <f>Table2[[#This Row],[Course Length (Hours)]]/(SUM(Table2[[#This Row],[1]:[2]]))</f>
        <v>24</v>
      </c>
      <c r="AJ489" s="465">
        <f ca="1">Table2[[#This Row],[Quotas]]-Table2[[#This Row],[Registered]]</f>
        <v>40</v>
      </c>
      <c r="AK489" s="467">
        <v>4</v>
      </c>
    </row>
    <row r="490" spans="1:37" s="408" customFormat="1" x14ac:dyDescent="0.25">
      <c r="A490" s="462"/>
      <c r="B490" s="426" t="s">
        <v>57</v>
      </c>
      <c r="C490" s="463" t="str">
        <f>VLOOKUP(Table2[[#This Row],[Course Title]],'TSD-Data'!$A$1:$E$56,2,FALSE)</f>
        <v>A-493-0099</v>
      </c>
      <c r="D490" s="463" t="str">
        <f>VLOOKUP(Table2[[#This Row],[Course Title]],'TSD-Data'!$A$1:$E$56,3,FALSE)</f>
        <v>12JW</v>
      </c>
      <c r="E490" s="426" t="s">
        <v>86</v>
      </c>
      <c r="F490" s="428">
        <v>45902</v>
      </c>
      <c r="G490" s="428">
        <v>45904</v>
      </c>
      <c r="H490" s="464"/>
      <c r="I490" s="464">
        <v>0.79166666666666663</v>
      </c>
      <c r="J490" s="469">
        <v>0.66666666666666663</v>
      </c>
      <c r="K490" s="469">
        <v>8.3333333333333329E-2</v>
      </c>
      <c r="L490" s="469">
        <v>0</v>
      </c>
      <c r="M490" s="469">
        <v>0.54166666666666663</v>
      </c>
      <c r="N490" s="469">
        <v>0.33333333333333331</v>
      </c>
      <c r="O490" s="462" t="s">
        <v>305</v>
      </c>
      <c r="P490" s="462"/>
      <c r="Q490" s="365"/>
      <c r="R490" s="466">
        <f>VLOOKUP(Table2[[#This Row],[Course Title]],'TSD-Data'!$A$1:$E$56,4,FALSE)</f>
        <v>45</v>
      </c>
      <c r="S490" s="465">
        <f>VLOOKUP(Table2[[#This Row],[Course Title]],'TSD-Data'!$A$1:$F$53,6,FALSE)</f>
        <v>24</v>
      </c>
      <c r="T490" s="465">
        <f>VLOOKUP(Table2[[#This Row],[Course Title]],'TSD-Data'!$A$1:$E$56,5,FALSE)</f>
        <v>3</v>
      </c>
      <c r="U490" s="465">
        <v>155</v>
      </c>
      <c r="V490" s="465">
        <f>Table2[[#This Row],[Quotas]]-Table2[[#This Row],[Open Quotas]]</f>
        <v>1</v>
      </c>
      <c r="W490" s="465"/>
      <c r="X490" s="466"/>
      <c r="Y490" s="466"/>
      <c r="Z490" s="465"/>
      <c r="AA490" s="465"/>
      <c r="AB490" s="463"/>
      <c r="AC490" s="465"/>
      <c r="AD490" s="466">
        <f ca="1">Table2[[#This Row],[End Date]]+2-TODAY()</f>
        <v>129</v>
      </c>
      <c r="AE490" s="465">
        <f>IF(ISBLANK(Table2[[#This Row],[Received by]]),1,0)</f>
        <v>1</v>
      </c>
      <c r="AF490" s="465">
        <f ca="1">IF(Table2[[#This Row],[Start Date]]&gt;TODAY(),1,)</f>
        <v>1</v>
      </c>
      <c r="AG490" s="465">
        <f>IF(ISBLANK(Table2[[#This Row],[Primary Instructor]]),0,1)</f>
        <v>1</v>
      </c>
      <c r="AH490" s="465">
        <f>IF(ISBLANK(Table2[[#This Row],[Instructor 2]]),0,1)</f>
        <v>0</v>
      </c>
      <c r="AI490" s="465">
        <f>Table2[[#This Row],[Course Length (Hours)]]/(SUM(Table2[[#This Row],[1]:[2]]))</f>
        <v>24</v>
      </c>
      <c r="AJ490" s="465">
        <v>44</v>
      </c>
      <c r="AK490" s="467">
        <v>4</v>
      </c>
    </row>
    <row r="491" spans="1:37" s="408" customFormat="1" x14ac:dyDescent="0.25">
      <c r="A491" s="426"/>
      <c r="B491" s="426" t="s">
        <v>29</v>
      </c>
      <c r="C491" s="463" t="str">
        <f>VLOOKUP(Table2[[#This Row],[Course Title]],'TSD-Data'!$A$1:$E$56,2,FALSE)</f>
        <v>A-493-0077</v>
      </c>
      <c r="D491" s="463" t="str">
        <f>VLOOKUP(Table2[[#This Row],[Course Title]],'TSD-Data'!$A$1:$E$56,3,FALSE)</f>
        <v>0381</v>
      </c>
      <c r="E491" s="426" t="s">
        <v>175</v>
      </c>
      <c r="F491" s="428">
        <v>45902</v>
      </c>
      <c r="G491" s="428">
        <v>45904</v>
      </c>
      <c r="H491" s="464">
        <v>0.33333333333333331</v>
      </c>
      <c r="I491" s="464"/>
      <c r="J491" s="464"/>
      <c r="K491" s="464"/>
      <c r="L491" s="464"/>
      <c r="M491" s="464"/>
      <c r="N491" s="464"/>
      <c r="O491" s="462" t="s">
        <v>280</v>
      </c>
      <c r="P491" s="462"/>
      <c r="Q491" s="365"/>
      <c r="R491" s="465">
        <f>VLOOKUP(Table2[[#This Row],[Course Title]],'TSD-Data'!$A$1:$E$56,4,FALSE)</f>
        <v>25</v>
      </c>
      <c r="S491" s="465">
        <f>VLOOKUP(Table2[[#This Row],[Course Title]],'TSD-Data'!$A$1:$F$53,6,FALSE)</f>
        <v>24</v>
      </c>
      <c r="T491" s="465">
        <f>VLOOKUP(Table2[[#This Row],[Course Title]],'TSD-Data'!$A$1:$E$56,5,FALSE)</f>
        <v>3</v>
      </c>
      <c r="U491" s="465">
        <v>14</v>
      </c>
      <c r="V491" s="465">
        <f ca="1">Table2[[#This Row],[Quotas]]-Table2[[#This Row],[Open Quotas]]</f>
        <v>0</v>
      </c>
      <c r="W491" s="465"/>
      <c r="X491" s="465"/>
      <c r="Y491" s="466"/>
      <c r="Z491" s="465"/>
      <c r="AA491" s="465"/>
      <c r="AB491" s="463"/>
      <c r="AC491" s="465"/>
      <c r="AD491" s="466">
        <f ca="1">Table2[[#This Row],[End Date]]+2-TODAY()</f>
        <v>129</v>
      </c>
      <c r="AE491" s="465">
        <f>IF(ISBLANK(Table2[[#This Row],[Received by]]),1,0)</f>
        <v>1</v>
      </c>
      <c r="AF491" s="465">
        <f ca="1">IF(Table2[[#This Row],[Start Date]]&gt;TODAY(),1,)</f>
        <v>1</v>
      </c>
      <c r="AG491" s="465">
        <f>IF(ISBLANK(Table2[[#This Row],[Primary Instructor]]),0,1)</f>
        <v>1</v>
      </c>
      <c r="AH491" s="465">
        <f>IF(ISBLANK(Table2[[#This Row],[Instructor 2]]),0,1)</f>
        <v>0</v>
      </c>
      <c r="AI491" s="465">
        <f>Table2[[#This Row],[Course Length (Hours)]]/(SUM(Table2[[#This Row],[1]:[2]]))</f>
        <v>24</v>
      </c>
      <c r="AJ491" s="465">
        <f ca="1">Table2[[#This Row],[Quotas]]-Table2[[#This Row],[Registered]]</f>
        <v>25</v>
      </c>
      <c r="AK491" s="467">
        <v>4</v>
      </c>
    </row>
    <row r="492" spans="1:37" s="408" customFormat="1" x14ac:dyDescent="0.25">
      <c r="A492" s="462"/>
      <c r="B492" s="426" t="s">
        <v>50</v>
      </c>
      <c r="C492" s="463" t="str">
        <f>VLOOKUP(Table2[[#This Row],[Course Title]],'TSD-Data'!$A$1:$E$56,2,FALSE)</f>
        <v>A-493-0331</v>
      </c>
      <c r="D492" s="463" t="str">
        <f>VLOOKUP(Table2[[#This Row],[Course Title]],'TSD-Data'!$A$1:$E$56,3,FALSE)</f>
        <v>10UG</v>
      </c>
      <c r="E492" s="426" t="s">
        <v>86</v>
      </c>
      <c r="F492" s="428">
        <v>45902</v>
      </c>
      <c r="G492" s="428">
        <v>45904</v>
      </c>
      <c r="H492" s="428"/>
      <c r="I492" s="469">
        <v>0.5</v>
      </c>
      <c r="J492" s="469">
        <v>0.375</v>
      </c>
      <c r="K492" s="469">
        <v>0.79166666666666663</v>
      </c>
      <c r="L492" s="469">
        <v>0.75</v>
      </c>
      <c r="M492" s="469">
        <v>0.25</v>
      </c>
      <c r="N492" s="469">
        <v>4.1666666666666664E-2</v>
      </c>
      <c r="O492" s="462" t="s">
        <v>318</v>
      </c>
      <c r="P492" s="462"/>
      <c r="Q492" s="365"/>
      <c r="R492" s="465">
        <f>VLOOKUP(Table2[[#This Row],[Course Title]],'TSD-Data'!$A$1:$E$56,4,FALSE)</f>
        <v>45</v>
      </c>
      <c r="S492" s="465">
        <f>VLOOKUP(Table2[[#This Row],[Course Title]],'TSD-Data'!$A$1:$F$53,6,FALSE)</f>
        <v>24</v>
      </c>
      <c r="T492" s="465">
        <f>VLOOKUP(Table2[[#This Row],[Course Title]],'TSD-Data'!$A$1:$E$56,5,FALSE)</f>
        <v>3</v>
      </c>
      <c r="U492" s="465">
        <v>805</v>
      </c>
      <c r="V492" s="465">
        <f>Table2[[#This Row],[Quotas]]-Table2[[#This Row],[Open Quotas]]</f>
        <v>1</v>
      </c>
      <c r="W492" s="465">
        <v>0</v>
      </c>
      <c r="X492" s="465"/>
      <c r="Y492" s="466"/>
      <c r="Z492" s="465"/>
      <c r="AA492" s="465"/>
      <c r="AB492" s="465"/>
      <c r="AC492" s="465"/>
      <c r="AD492" s="466">
        <f ca="1">Table2[[#This Row],[End Date]]+2-TODAY()</f>
        <v>129</v>
      </c>
      <c r="AE492" s="465">
        <f>IF(ISBLANK(Table2[[#This Row],[Received by]]),1,0)</f>
        <v>1</v>
      </c>
      <c r="AF492" s="465">
        <f ca="1">IF(Table2[[#This Row],[Start Date]]&gt;TODAY(),1,)</f>
        <v>1</v>
      </c>
      <c r="AG492" s="465">
        <f>IF(ISBLANK(Table2[[#This Row],[Primary Instructor]]),0,1)</f>
        <v>1</v>
      </c>
      <c r="AH492" s="465">
        <f>IF(ISBLANK(Table2[[#This Row],[Instructor 2]]),0,1)</f>
        <v>0</v>
      </c>
      <c r="AI492" s="465">
        <f>Table2[[#This Row],[Course Length (Hours)]]/(SUM(Table2[[#This Row],[1]:[2]]))</f>
        <v>24</v>
      </c>
      <c r="AJ492" s="465">
        <v>44</v>
      </c>
      <c r="AK492" s="467">
        <v>4</v>
      </c>
    </row>
    <row r="493" spans="1:37" s="408" customFormat="1" x14ac:dyDescent="0.25">
      <c r="A493" s="462"/>
      <c r="B493" s="426" t="s">
        <v>51</v>
      </c>
      <c r="C493" s="463" t="str">
        <f>VLOOKUP(Table2[[#This Row],[Course Title]],'TSD-Data'!$A$1:$E$56,2,FALSE)</f>
        <v>A-493-0335</v>
      </c>
      <c r="D493" s="463" t="str">
        <f>VLOOKUP(Table2[[#This Row],[Course Title]],'TSD-Data'!$A$1:$E$56,3,FALSE)</f>
        <v>09ND</v>
      </c>
      <c r="E493" s="426" t="s">
        <v>86</v>
      </c>
      <c r="F493" s="428">
        <v>45902</v>
      </c>
      <c r="G493" s="428">
        <v>45905</v>
      </c>
      <c r="H493" s="464"/>
      <c r="I493" s="469">
        <v>0.33333333333333331</v>
      </c>
      <c r="J493" s="464">
        <v>0.20833333333333334</v>
      </c>
      <c r="K493" s="464">
        <v>0.625</v>
      </c>
      <c r="L493" s="464">
        <v>0.54166666666666663</v>
      </c>
      <c r="M493" s="464">
        <v>8.3333333333333329E-2</v>
      </c>
      <c r="N493" s="464">
        <v>0.875</v>
      </c>
      <c r="O493" s="462" t="s">
        <v>274</v>
      </c>
      <c r="P493" s="462"/>
      <c r="Q493" s="365"/>
      <c r="R493" s="465">
        <f>VLOOKUP(Table2[[#This Row],[Course Title]],'TSD-Data'!$A$1:$E$56,4,FALSE)</f>
        <v>45</v>
      </c>
      <c r="S493" s="465">
        <f>VLOOKUP(Table2[[#This Row],[Course Title]],'TSD-Data'!$A$1:$F$53,6,FALSE)</f>
        <v>32</v>
      </c>
      <c r="T493" s="465">
        <f>VLOOKUP(Table2[[#This Row],[Course Title]],'TSD-Data'!$A$1:$E$56,5,FALSE)</f>
        <v>4</v>
      </c>
      <c r="U493" s="465">
        <v>253</v>
      </c>
      <c r="V493" s="465">
        <f>Table2[[#This Row],[Quotas]]-Table2[[#This Row],[Open Quotas]]</f>
        <v>6</v>
      </c>
      <c r="W493" s="465"/>
      <c r="X493" s="465"/>
      <c r="Y493" s="466"/>
      <c r="Z493" s="465"/>
      <c r="AA493" s="465"/>
      <c r="AB493" s="463"/>
      <c r="AC493" s="465"/>
      <c r="AD493" s="466">
        <f ca="1">Table2[[#This Row],[End Date]]+2-TODAY()</f>
        <v>130</v>
      </c>
      <c r="AE493" s="465">
        <f>IF(ISBLANK(Table2[[#This Row],[Received by]]),1,0)</f>
        <v>1</v>
      </c>
      <c r="AF493" s="465">
        <f ca="1">IF(Table2[[#This Row],[Start Date]]&gt;TODAY(),1,)</f>
        <v>1</v>
      </c>
      <c r="AG493" s="465">
        <f>IF(ISBLANK(Table2[[#This Row],[Primary Instructor]]),0,1)</f>
        <v>1</v>
      </c>
      <c r="AH493" s="465">
        <f>IF(ISBLANK(Table2[[#This Row],[Instructor 2]]),0,1)</f>
        <v>0</v>
      </c>
      <c r="AI493" s="465">
        <f>Table2[[#This Row],[Course Length (Hours)]]/(SUM(Table2[[#This Row],[1]:[2]]))</f>
        <v>32</v>
      </c>
      <c r="AJ493" s="465">
        <v>39</v>
      </c>
      <c r="AK493" s="467">
        <v>4</v>
      </c>
    </row>
    <row r="494" spans="1:37" s="408" customFormat="1" x14ac:dyDescent="0.25">
      <c r="A494" s="462"/>
      <c r="B494" s="426" t="s">
        <v>59</v>
      </c>
      <c r="C494" s="463" t="str">
        <f>VLOOKUP(Table2[[#This Row],[Course Title]],'TSD-Data'!$A$1:$E$56,2,FALSE)</f>
        <v>A-493-0550</v>
      </c>
      <c r="D494" s="463" t="str">
        <f>VLOOKUP(Table2[[#This Row],[Course Title]],'TSD-Data'!$A$1:$E$56,3,FALSE)</f>
        <v>09K5</v>
      </c>
      <c r="E494" s="426" t="s">
        <v>86</v>
      </c>
      <c r="F494" s="451">
        <v>45902</v>
      </c>
      <c r="G494" s="451">
        <v>45905</v>
      </c>
      <c r="H494" s="464"/>
      <c r="I494" s="469">
        <v>0.5</v>
      </c>
      <c r="J494" s="469">
        <v>0.375</v>
      </c>
      <c r="K494" s="469">
        <v>0.79166666666666663</v>
      </c>
      <c r="L494" s="469">
        <v>0.75</v>
      </c>
      <c r="M494" s="469">
        <v>0.25</v>
      </c>
      <c r="N494" s="469">
        <v>4.1666666666666664E-2</v>
      </c>
      <c r="O494" s="462" t="s">
        <v>330</v>
      </c>
      <c r="P494" s="462"/>
      <c r="Q494" s="365"/>
      <c r="R494" s="465">
        <f>VLOOKUP(Table2[[#This Row],[Course Title]],'TSD-Data'!$A$1:$E$56,4,FALSE)</f>
        <v>45</v>
      </c>
      <c r="S494" s="465">
        <f>VLOOKUP(Table2[[#This Row],[Course Title]],'TSD-Data'!$A$1:$F$53,6,FALSE)</f>
        <v>32</v>
      </c>
      <c r="T494" s="465">
        <f>VLOOKUP(Table2[[#This Row],[Course Title]],'TSD-Data'!$A$1:$E$56,5,FALSE)</f>
        <v>4</v>
      </c>
      <c r="U494" s="465">
        <v>949</v>
      </c>
      <c r="V494" s="465">
        <f ca="1">Table2[[#This Row],[Quotas]]-Table2[[#This Row],[Open Quotas]]</f>
        <v>0</v>
      </c>
      <c r="W494" s="465"/>
      <c r="X494" s="465"/>
      <c r="Y494" s="466"/>
      <c r="Z494" s="465"/>
      <c r="AA494" s="465"/>
      <c r="AB494" s="465"/>
      <c r="AC494" s="465"/>
      <c r="AD494" s="466">
        <f ca="1">Table2[[#This Row],[End Date]]+2-TODAY()</f>
        <v>130</v>
      </c>
      <c r="AE494" s="465">
        <f>IF(ISBLANK(Table2[[#This Row],[Received by]]),1,0)</f>
        <v>1</v>
      </c>
      <c r="AF494" s="465">
        <f ca="1">IF(Table2[[#This Row],[Start Date]]&gt;TODAY(),1,)</f>
        <v>1</v>
      </c>
      <c r="AG494" s="465">
        <f>IF(ISBLANK(Table2[[#This Row],[Primary Instructor]]),0,1)</f>
        <v>1</v>
      </c>
      <c r="AH494" s="465">
        <f>IF(ISBLANK(Table2[[#This Row],[Instructor 2]]),0,1)</f>
        <v>0</v>
      </c>
      <c r="AI494" s="465">
        <f>Table2[[#This Row],[Course Length (Hours)]]/(SUM(Table2[[#This Row],[1]:[2]]))</f>
        <v>32</v>
      </c>
      <c r="AJ494" s="465">
        <f ca="1">Table2[[#This Row],[Quotas]]-Table2[[#This Row],[Registered]]</f>
        <v>45</v>
      </c>
      <c r="AK494" s="467">
        <v>4</v>
      </c>
    </row>
    <row r="495" spans="1:37" s="408" customFormat="1" x14ac:dyDescent="0.25">
      <c r="A495" s="462"/>
      <c r="B495" s="426" t="s">
        <v>31</v>
      </c>
      <c r="C495" s="463" t="str">
        <f>VLOOKUP(Table2[[#This Row],[Course Title]],'TSD-Data'!$A$1:$E$56,2,FALSE)</f>
        <v>A-493-0083</v>
      </c>
      <c r="D495" s="463" t="str">
        <f>VLOOKUP(Table2[[#This Row],[Course Title]],'TSD-Data'!$A$1:$E$56,3,FALSE)</f>
        <v>339E</v>
      </c>
      <c r="E495" s="448" t="s">
        <v>175</v>
      </c>
      <c r="F495" s="428">
        <v>45905</v>
      </c>
      <c r="G495" s="428">
        <v>45905</v>
      </c>
      <c r="H495" s="464">
        <v>0.33333333333333331</v>
      </c>
      <c r="I495" s="464"/>
      <c r="J495" s="464"/>
      <c r="K495" s="464"/>
      <c r="L495" s="464"/>
      <c r="M495" s="464"/>
      <c r="N495" s="464"/>
      <c r="O495" s="462" t="s">
        <v>280</v>
      </c>
      <c r="P495" s="462"/>
      <c r="Q495" s="365"/>
      <c r="R495" s="465">
        <f>VLOOKUP(Table2[[#This Row],[Course Title]],'TSD-Data'!$A$1:$E$56,4,FALSE)</f>
        <v>30</v>
      </c>
      <c r="S495" s="465">
        <f>VLOOKUP(Table2[[#This Row],[Course Title]],'TSD-Data'!$A$1:$F$53,6,FALSE)</f>
        <v>8</v>
      </c>
      <c r="T495" s="465">
        <f>VLOOKUP(Table2[[#This Row],[Course Title]],'TSD-Data'!$A$1:$E$56,5,FALSE)</f>
        <v>1</v>
      </c>
      <c r="U495" s="465">
        <v>68</v>
      </c>
      <c r="V495" s="465">
        <f ca="1">Table2[[#This Row],[Quotas]]-Table2[[#This Row],[Open Quotas]]</f>
        <v>0</v>
      </c>
      <c r="W495" s="465"/>
      <c r="X495" s="465"/>
      <c r="Y495" s="466"/>
      <c r="Z495" s="465"/>
      <c r="AA495" s="465"/>
      <c r="AB495" s="463"/>
      <c r="AC495" s="465"/>
      <c r="AD495" s="466">
        <f ca="1">Table2[[#This Row],[End Date]]+2-TODAY()</f>
        <v>130</v>
      </c>
      <c r="AE495" s="465">
        <f>IF(ISBLANK(Table2[[#This Row],[Received by]]),1,0)</f>
        <v>1</v>
      </c>
      <c r="AF495" s="465">
        <f ca="1">IF(Table2[[#This Row],[Start Date]]&gt;TODAY(),1,)</f>
        <v>1</v>
      </c>
      <c r="AG495" s="465">
        <f>IF(ISBLANK(Table2[[#This Row],[Primary Instructor]]),0,1)</f>
        <v>1</v>
      </c>
      <c r="AH495" s="465">
        <f>IF(ISBLANK(Table2[[#This Row],[Instructor 2]]),0,1)</f>
        <v>0</v>
      </c>
      <c r="AI495" s="465">
        <f>Table2[[#This Row],[Course Length (Hours)]]/(SUM(Table2[[#This Row],[1]:[2]]))</f>
        <v>8</v>
      </c>
      <c r="AJ495" s="465">
        <f ca="1">Table2[[#This Row],[Quotas]]-Table2[[#This Row],[Registered]]</f>
        <v>30</v>
      </c>
      <c r="AK495" s="467">
        <v>4</v>
      </c>
    </row>
    <row r="496" spans="1:37" s="408" customFormat="1" x14ac:dyDescent="0.25">
      <c r="A496" s="462"/>
      <c r="B496" s="426" t="s">
        <v>55</v>
      </c>
      <c r="C496" s="463" t="str">
        <f>VLOOKUP(Table2[[#This Row],[Course Title]],'TSD-Data'!$A$1:$E$56,2,FALSE)</f>
        <v>A-493-0103</v>
      </c>
      <c r="D496" s="463" t="str">
        <f>VLOOKUP(Table2[[#This Row],[Course Title]],'TSD-Data'!$A$1:$E$56,3,FALSE)</f>
        <v>12JY</v>
      </c>
      <c r="E496" s="472" t="s">
        <v>170</v>
      </c>
      <c r="F496" s="451">
        <v>45908</v>
      </c>
      <c r="G496" s="451">
        <v>45912</v>
      </c>
      <c r="H496" s="464">
        <v>0.33333333333333331</v>
      </c>
      <c r="I496" s="522"/>
      <c r="J496" s="522"/>
      <c r="K496" s="522"/>
      <c r="L496" s="522"/>
      <c r="M496" s="522"/>
      <c r="N496" s="522"/>
      <c r="O496" s="462" t="s">
        <v>314</v>
      </c>
      <c r="P496" s="462"/>
      <c r="Q496" s="365"/>
      <c r="R496" s="465">
        <f>VLOOKUP(Table2[[#This Row],[Course Title]],'TSD-Data'!$A$1:$E$56,4,FALSE)</f>
        <v>25</v>
      </c>
      <c r="S496" s="465">
        <f>VLOOKUP(Table2[[#This Row],[Course Title]],'TSD-Data'!$A$1:$F$53,6,FALSE)</f>
        <v>40</v>
      </c>
      <c r="T496" s="465">
        <f>VLOOKUP(Table2[[#This Row],[Course Title]],'TSD-Data'!$A$1:$E$56,5,FALSE)</f>
        <v>5</v>
      </c>
      <c r="U496" s="465">
        <v>125</v>
      </c>
      <c r="V496" s="465">
        <f>Table2[[#This Row],[Quotas]]-Table2[[#This Row],[Open Quotas]]</f>
        <v>4</v>
      </c>
      <c r="W496" s="465"/>
      <c r="X496" s="465"/>
      <c r="Y496" s="466"/>
      <c r="Z496" s="465"/>
      <c r="AA496" s="465"/>
      <c r="AB496" s="465"/>
      <c r="AC496" s="465"/>
      <c r="AD496" s="466">
        <f ca="1">Table2[[#This Row],[End Date]]+2-TODAY()</f>
        <v>137</v>
      </c>
      <c r="AE496" s="465">
        <f>IF(ISBLANK(Table2[[#This Row],[Received by]]),1,0)</f>
        <v>1</v>
      </c>
      <c r="AF496" s="465">
        <f ca="1">IF(Table2[[#This Row],[Start Date]]&gt;TODAY(),1,)</f>
        <v>1</v>
      </c>
      <c r="AG496" s="465">
        <f>IF(ISBLANK(Table2[[#This Row],[Primary Instructor]]),0,1)</f>
        <v>1</v>
      </c>
      <c r="AH496" s="465">
        <f>IF(ISBLANK(Table2[[#This Row],[Instructor 2]]),0,1)</f>
        <v>0</v>
      </c>
      <c r="AI496" s="465">
        <f>Table2[[#This Row],[Course Length (Hours)]]/(SUM(Table2[[#This Row],[1]:[2]]))</f>
        <v>40</v>
      </c>
      <c r="AJ496" s="465">
        <v>21</v>
      </c>
      <c r="AK496" s="467">
        <v>4</v>
      </c>
    </row>
    <row r="497" spans="1:37" s="408" customFormat="1" x14ac:dyDescent="0.25">
      <c r="A497" s="462" t="s">
        <v>404</v>
      </c>
      <c r="B497" s="426" t="s">
        <v>17</v>
      </c>
      <c r="C497" s="463" t="str">
        <f>VLOOKUP(Table2[[#This Row],[Course Title]],'TSD-Data'!$A$1:$E$56,2,FALSE)</f>
        <v>A-493-0012</v>
      </c>
      <c r="D497" s="463">
        <f>VLOOKUP(Table2[[#This Row],[Course Title]],'TSD-Data'!$A$1:$E$56,3,FALSE)</f>
        <v>3682</v>
      </c>
      <c r="E497" s="426" t="s">
        <v>191</v>
      </c>
      <c r="F497" s="428">
        <v>45908</v>
      </c>
      <c r="G497" s="428">
        <v>45912</v>
      </c>
      <c r="H497" s="464">
        <v>0.33333333333333331</v>
      </c>
      <c r="I497" s="464"/>
      <c r="J497" s="428"/>
      <c r="K497" s="428"/>
      <c r="L497" s="428"/>
      <c r="M497" s="428"/>
      <c r="N497" s="428"/>
      <c r="O497" s="462" t="s">
        <v>257</v>
      </c>
      <c r="P497" s="462"/>
      <c r="Q497" s="365"/>
      <c r="R497" s="466">
        <f>VLOOKUP(Table2[[#This Row],[Course Title]],'TSD-Data'!$A$1:$E$56,4,FALSE)</f>
        <v>40</v>
      </c>
      <c r="S497" s="465">
        <f>VLOOKUP(Table2[[#This Row],[Course Title]],'TSD-Data'!$A$1:$F$53,6,FALSE)</f>
        <v>40</v>
      </c>
      <c r="T497" s="470">
        <f>VLOOKUP(Table2[[#This Row],[Course Title]],'TSD-Data'!$A$1:$E$56,5,FALSE)</f>
        <v>5</v>
      </c>
      <c r="U497" s="470">
        <v>0</v>
      </c>
      <c r="V497" s="470">
        <f ca="1">Table2[[#This Row],[Quotas]]-Table2[[#This Row],[Open Quotas]]</f>
        <v>0</v>
      </c>
      <c r="W497" s="470"/>
      <c r="X497" s="466"/>
      <c r="Y497" s="466"/>
      <c r="Z497" s="465"/>
      <c r="AA497" s="465"/>
      <c r="AB497" s="465"/>
      <c r="AC497" s="465"/>
      <c r="AD497" s="466">
        <f ca="1">Table2[[#This Row],[End Date]]+2-TODAY()</f>
        <v>137</v>
      </c>
      <c r="AE497" s="465">
        <f>IF(ISBLANK(Table2[[#This Row],[Received by]]),1,0)</f>
        <v>1</v>
      </c>
      <c r="AF497" s="465">
        <f ca="1">IF(Table2[[#This Row],[Start Date]]&gt;TODAY(),1,)</f>
        <v>1</v>
      </c>
      <c r="AG497" s="465">
        <f>IF(ISBLANK(Table2[[#This Row],[Primary Instructor]]),0,1)</f>
        <v>1</v>
      </c>
      <c r="AH497" s="465">
        <f>IF(ISBLANK(Table2[[#This Row],[Instructor 2]]),0,1)</f>
        <v>0</v>
      </c>
      <c r="AI497" s="465">
        <f>Table2[[#This Row],[Course Length (Hours)]]/(SUM(Table2[[#This Row],[1]:[2]]))</f>
        <v>40</v>
      </c>
      <c r="AJ497" s="465">
        <f ca="1">Table2[[#This Row],[Quotas]]-Table2[[#This Row],[Registered]]</f>
        <v>40</v>
      </c>
      <c r="AK497" s="467">
        <v>4</v>
      </c>
    </row>
    <row r="498" spans="1:37" s="408" customFormat="1" x14ac:dyDescent="0.25">
      <c r="A498" s="462"/>
      <c r="B498" s="426" t="s">
        <v>17</v>
      </c>
      <c r="C498" s="463" t="str">
        <f>VLOOKUP(Table2[[#This Row],[Course Title]],'TSD-Data'!$A$1:$E$56,2,FALSE)</f>
        <v>A-493-0012</v>
      </c>
      <c r="D498" s="463">
        <f>VLOOKUP(Table2[[#This Row],[Course Title]],'TSD-Data'!$A$1:$E$56,3,FALSE)</f>
        <v>3682</v>
      </c>
      <c r="E498" s="426" t="s">
        <v>178</v>
      </c>
      <c r="F498" s="428">
        <v>45908</v>
      </c>
      <c r="G498" s="428">
        <v>45912</v>
      </c>
      <c r="H498" s="464">
        <v>0.33333333333333331</v>
      </c>
      <c r="I498" s="469"/>
      <c r="J498" s="469"/>
      <c r="K498" s="469"/>
      <c r="L498" s="469"/>
      <c r="M498" s="469"/>
      <c r="N498" s="469"/>
      <c r="O498" s="462" t="s">
        <v>289</v>
      </c>
      <c r="P498" s="462"/>
      <c r="Q498" s="365"/>
      <c r="R498" s="465">
        <f>VLOOKUP(Table2[[#This Row],[Course Title]],'TSD-Data'!$A$1:$E$56,4,FALSE)</f>
        <v>40</v>
      </c>
      <c r="S498" s="465">
        <f>VLOOKUP(Table2[[#This Row],[Course Title]],'TSD-Data'!$A$1:$F$53,6,FALSE)</f>
        <v>40</v>
      </c>
      <c r="T498" s="465">
        <f>VLOOKUP(Table2[[#This Row],[Course Title]],'TSD-Data'!$A$1:$E$56,5,FALSE)</f>
        <v>5</v>
      </c>
      <c r="U498" s="465">
        <v>80</v>
      </c>
      <c r="V498" s="465">
        <f ca="1">Table2[[#This Row],[Quotas]]-Table2[[#This Row],[Open Quotas]]</f>
        <v>0</v>
      </c>
      <c r="W498" s="465"/>
      <c r="X498" s="465"/>
      <c r="Y498" s="466"/>
      <c r="Z498" s="465"/>
      <c r="AA498" s="465"/>
      <c r="AB498" s="463"/>
      <c r="AC498" s="465"/>
      <c r="AD498" s="466">
        <f ca="1">Table2[[#This Row],[End Date]]+2-TODAY()</f>
        <v>137</v>
      </c>
      <c r="AE498" s="465">
        <f>IF(ISBLANK(Table2[[#This Row],[Received by]]),1,0)</f>
        <v>1</v>
      </c>
      <c r="AF498" s="465">
        <f ca="1">IF(Table2[[#This Row],[Start Date]]&gt;TODAY(),1,)</f>
        <v>1</v>
      </c>
      <c r="AG498" s="465">
        <f>IF(ISBLANK(Table2[[#This Row],[Primary Instructor]]),0,1)</f>
        <v>1</v>
      </c>
      <c r="AH498" s="465">
        <f>IF(ISBLANK(Table2[[#This Row],[Instructor 2]]),0,1)</f>
        <v>0</v>
      </c>
      <c r="AI498" s="465">
        <f>Table2[[#This Row],[Course Length (Hours)]]/(SUM(Table2[[#This Row],[1]:[2]]))</f>
        <v>40</v>
      </c>
      <c r="AJ498" s="465">
        <f ca="1">Table2[[#This Row],[Quotas]]-Table2[[#This Row],[Registered]]</f>
        <v>40</v>
      </c>
      <c r="AK498" s="467">
        <v>4</v>
      </c>
    </row>
    <row r="499" spans="1:37" s="408" customFormat="1" x14ac:dyDescent="0.25">
      <c r="A499" s="462"/>
      <c r="B499" s="426" t="s">
        <v>38</v>
      </c>
      <c r="C499" s="463" t="str">
        <f>VLOOKUP(Table2[[#This Row],[Course Title]],'TSD-Data'!$A$1:$E$56,2,FALSE)</f>
        <v>A-493-0061</v>
      </c>
      <c r="D499" s="463" t="str">
        <f>VLOOKUP(Table2[[#This Row],[Course Title]],'TSD-Data'!$A$1:$E$56,3,FALSE)</f>
        <v>288E</v>
      </c>
      <c r="E499" s="426" t="s">
        <v>86</v>
      </c>
      <c r="F499" s="428">
        <v>45908</v>
      </c>
      <c r="G499" s="428">
        <v>45911</v>
      </c>
      <c r="H499" s="464"/>
      <c r="I499" s="464">
        <v>0.41666666666666669</v>
      </c>
      <c r="J499" s="469">
        <v>0.29166666666666669</v>
      </c>
      <c r="K499" s="469">
        <v>0.70833333333333337</v>
      </c>
      <c r="L499" s="469">
        <v>0.66666666666666663</v>
      </c>
      <c r="M499" s="469">
        <v>0.16666666666666666</v>
      </c>
      <c r="N499" s="469">
        <v>0.95833333333333337</v>
      </c>
      <c r="O499" s="462" t="s">
        <v>303</v>
      </c>
      <c r="P499" s="462"/>
      <c r="Q499" s="365"/>
      <c r="R499" s="466">
        <f>VLOOKUP(Table2[[#This Row],[Course Title]],'TSD-Data'!$A$1:$E$56,4,FALSE)</f>
        <v>45</v>
      </c>
      <c r="S499" s="465">
        <f>VLOOKUP(Table2[[#This Row],[Course Title]],'TSD-Data'!$A$1:$F$53,6,FALSE)</f>
        <v>30</v>
      </c>
      <c r="T499" s="465">
        <f>VLOOKUP(Table2[[#This Row],[Course Title]],'TSD-Data'!$A$1:$E$56,5,FALSE)</f>
        <v>4</v>
      </c>
      <c r="U499" s="465">
        <v>533</v>
      </c>
      <c r="V499" s="465">
        <f>Table2[[#This Row],[Quotas]]-Table2[[#This Row],[Open Quotas]]</f>
        <v>1</v>
      </c>
      <c r="W499" s="465"/>
      <c r="X499" s="466"/>
      <c r="Y499" s="466"/>
      <c r="Z499" s="465"/>
      <c r="AA499" s="465"/>
      <c r="AB499" s="463"/>
      <c r="AC499" s="465"/>
      <c r="AD499" s="466">
        <f ca="1">Table2[[#This Row],[End Date]]+2-TODAY()</f>
        <v>136</v>
      </c>
      <c r="AE499" s="465">
        <f>IF(ISBLANK(Table2[[#This Row],[Received by]]),1,0)</f>
        <v>1</v>
      </c>
      <c r="AF499" s="465">
        <f ca="1">IF(Table2[[#This Row],[Start Date]]&gt;TODAY(),1,)</f>
        <v>1</v>
      </c>
      <c r="AG499" s="465">
        <f>IF(ISBLANK(Table2[[#This Row],[Primary Instructor]]),0,1)</f>
        <v>1</v>
      </c>
      <c r="AH499" s="465">
        <f>IF(ISBLANK(Table2[[#This Row],[Instructor 2]]),0,1)</f>
        <v>0</v>
      </c>
      <c r="AI499" s="465">
        <f>Table2[[#This Row],[Course Length (Hours)]]/(SUM(Table2[[#This Row],[1]:[2]]))</f>
        <v>30</v>
      </c>
      <c r="AJ499" s="465">
        <v>44</v>
      </c>
      <c r="AK499" s="467">
        <v>4</v>
      </c>
    </row>
    <row r="500" spans="1:37" s="408" customFormat="1" x14ac:dyDescent="0.25">
      <c r="A500" s="462"/>
      <c r="B500" s="426" t="s">
        <v>29</v>
      </c>
      <c r="C500" s="463" t="str">
        <f>VLOOKUP(Table2[[#This Row],[Course Title]],'TSD-Data'!$A$1:$E$56,2,FALSE)</f>
        <v>A-493-0077</v>
      </c>
      <c r="D500" s="463" t="str">
        <f>VLOOKUP(Table2[[#This Row],[Course Title]],'TSD-Data'!$A$1:$E$56,3,FALSE)</f>
        <v>0381</v>
      </c>
      <c r="E500" s="426" t="s">
        <v>183</v>
      </c>
      <c r="F500" s="428">
        <v>45908</v>
      </c>
      <c r="G500" s="428">
        <v>45910</v>
      </c>
      <c r="H500" s="464">
        <v>0.33333333333333331</v>
      </c>
      <c r="I500" s="464"/>
      <c r="J500" s="464"/>
      <c r="K500" s="464"/>
      <c r="L500" s="464"/>
      <c r="M500" s="464"/>
      <c r="N500" s="464"/>
      <c r="O500" s="462" t="s">
        <v>280</v>
      </c>
      <c r="P500" s="462"/>
      <c r="Q500" s="365"/>
      <c r="R500" s="465">
        <f>VLOOKUP(Table2[[#This Row],[Course Title]],'TSD-Data'!$A$1:$E$56,4,FALSE)</f>
        <v>25</v>
      </c>
      <c r="S500" s="465">
        <f>VLOOKUP(Table2[[#This Row],[Course Title]],'TSD-Data'!$A$1:$F$53,6,FALSE)</f>
        <v>24</v>
      </c>
      <c r="T500" s="465">
        <f>VLOOKUP(Table2[[#This Row],[Course Title]],'TSD-Data'!$A$1:$E$56,5,FALSE)</f>
        <v>3</v>
      </c>
      <c r="U500" s="465">
        <v>13</v>
      </c>
      <c r="V500" s="465">
        <f ca="1">Table2[[#This Row],[Quotas]]-Table2[[#This Row],[Open Quotas]]</f>
        <v>0</v>
      </c>
      <c r="W500" s="465"/>
      <c r="X500" s="465"/>
      <c r="Y500" s="466"/>
      <c r="Z500" s="465"/>
      <c r="AA500" s="465"/>
      <c r="AB500" s="463"/>
      <c r="AC500" s="465"/>
      <c r="AD500" s="466">
        <f ca="1">Table2[[#This Row],[End Date]]+2-TODAY()</f>
        <v>135</v>
      </c>
      <c r="AE500" s="465">
        <f>IF(ISBLANK(Table2[[#This Row],[Received by]]),1,0)</f>
        <v>1</v>
      </c>
      <c r="AF500" s="465">
        <f ca="1">IF(Table2[[#This Row],[Start Date]]&gt;TODAY(),1,)</f>
        <v>1</v>
      </c>
      <c r="AG500" s="465">
        <f>IF(ISBLANK(Table2[[#This Row],[Primary Instructor]]),0,1)</f>
        <v>1</v>
      </c>
      <c r="AH500" s="465">
        <f>IF(ISBLANK(Table2[[#This Row],[Instructor 2]]),0,1)</f>
        <v>0</v>
      </c>
      <c r="AI500" s="465">
        <f>Table2[[#This Row],[Course Length (Hours)]]/(SUM(Table2[[#This Row],[1]:[2]]))</f>
        <v>24</v>
      </c>
      <c r="AJ500" s="465">
        <f ca="1">Table2[[#This Row],[Quotas]]-Table2[[#This Row],[Registered]]</f>
        <v>25</v>
      </c>
      <c r="AK500" s="467">
        <v>4</v>
      </c>
    </row>
    <row r="501" spans="1:37" s="408" customFormat="1" x14ac:dyDescent="0.25">
      <c r="A501" s="462"/>
      <c r="B501" s="426" t="s">
        <v>29</v>
      </c>
      <c r="C501" s="463" t="str">
        <f>VLOOKUP(Table2[[#This Row],[Course Title]],'TSD-Data'!$A$1:$E$56,2,FALSE)</f>
        <v>A-493-0077</v>
      </c>
      <c r="D501" s="463" t="str">
        <f>VLOOKUP(Table2[[#This Row],[Course Title]],'TSD-Data'!$A$1:$E$56,3,FALSE)</f>
        <v>0381</v>
      </c>
      <c r="E501" s="426" t="s">
        <v>204</v>
      </c>
      <c r="F501" s="428">
        <v>45908</v>
      </c>
      <c r="G501" s="428">
        <v>45910</v>
      </c>
      <c r="H501" s="464">
        <v>0.33333333333333331</v>
      </c>
      <c r="I501" s="464"/>
      <c r="J501" s="464"/>
      <c r="K501" s="464"/>
      <c r="L501" s="464"/>
      <c r="M501" s="464"/>
      <c r="N501" s="464"/>
      <c r="O501" s="462" t="s">
        <v>280</v>
      </c>
      <c r="P501" s="462"/>
      <c r="Q501" s="365"/>
      <c r="R501" s="465">
        <f>VLOOKUP(Table2[[#This Row],[Course Title]],'TSD-Data'!$A$1:$E$56,4,FALSE)</f>
        <v>25</v>
      </c>
      <c r="S501" s="465">
        <f>VLOOKUP(Table2[[#This Row],[Course Title]],'TSD-Data'!$A$1:$F$53,6,FALSE)</f>
        <v>24</v>
      </c>
      <c r="T501" s="465">
        <f>VLOOKUP(Table2[[#This Row],[Course Title]],'TSD-Data'!$A$1:$E$56,5,FALSE)</f>
        <v>3</v>
      </c>
      <c r="U501" s="465">
        <v>32</v>
      </c>
      <c r="V501" s="465">
        <f>Table2[[#This Row],[Quotas]]-Table2[[#This Row],[Open Quotas]]</f>
        <v>3</v>
      </c>
      <c r="W501" s="465"/>
      <c r="X501" s="465"/>
      <c r="Y501" s="466"/>
      <c r="Z501" s="465"/>
      <c r="AA501" s="465"/>
      <c r="AB501" s="463"/>
      <c r="AC501" s="465"/>
      <c r="AD501" s="466">
        <f ca="1">Table2[[#This Row],[End Date]]+2-TODAY()</f>
        <v>135</v>
      </c>
      <c r="AE501" s="465">
        <f>IF(ISBLANK(Table2[[#This Row],[Received by]]),1,0)</f>
        <v>1</v>
      </c>
      <c r="AF501" s="465">
        <f ca="1">IF(Table2[[#This Row],[Start Date]]&gt;TODAY(),1,)</f>
        <v>1</v>
      </c>
      <c r="AG501" s="465">
        <f>IF(ISBLANK(Table2[[#This Row],[Primary Instructor]]),0,1)</f>
        <v>1</v>
      </c>
      <c r="AH501" s="465">
        <f>IF(ISBLANK(Table2[[#This Row],[Instructor 2]]),0,1)</f>
        <v>0</v>
      </c>
      <c r="AI501" s="465">
        <f>Table2[[#This Row],[Course Length (Hours)]]/(SUM(Table2[[#This Row],[1]:[2]]))</f>
        <v>24</v>
      </c>
      <c r="AJ501" s="465">
        <v>22</v>
      </c>
      <c r="AK501" s="467">
        <v>4</v>
      </c>
    </row>
    <row r="502" spans="1:37" s="408" customFormat="1" x14ac:dyDescent="0.25">
      <c r="A502" s="462"/>
      <c r="B502" s="426" t="s">
        <v>49</v>
      </c>
      <c r="C502" s="463" t="str">
        <f>VLOOKUP(Table2[[#This Row],[Course Title]],'TSD-Data'!$A$1:$E$56,2,FALSE)</f>
        <v>A-493-0092</v>
      </c>
      <c r="D502" s="463">
        <f>VLOOKUP(Table2[[#This Row],[Course Title]],'TSD-Data'!$A$1:$E$56,3,FALSE)</f>
        <v>5891</v>
      </c>
      <c r="E502" s="448" t="s">
        <v>198</v>
      </c>
      <c r="F502" s="428">
        <v>45908</v>
      </c>
      <c r="G502" s="428">
        <v>45910</v>
      </c>
      <c r="H502" s="464">
        <v>0.33333333333333331</v>
      </c>
      <c r="I502" s="468"/>
      <c r="J502" s="428"/>
      <c r="K502" s="428"/>
      <c r="L502" s="428"/>
      <c r="M502" s="428"/>
      <c r="N502" s="428"/>
      <c r="O502" s="462" t="s">
        <v>318</v>
      </c>
      <c r="P502" s="462" t="s">
        <v>315</v>
      </c>
      <c r="Q502" s="365"/>
      <c r="R502" s="465">
        <f>VLOOKUP(Table2[[#This Row],[Course Title]],'TSD-Data'!$A$1:$E$56,4,FALSE)</f>
        <v>25</v>
      </c>
      <c r="S502" s="465">
        <f>VLOOKUP(Table2[[#This Row],[Course Title]],'TSD-Data'!$A$1:$F$53,6,FALSE)</f>
        <v>24</v>
      </c>
      <c r="T502" s="465">
        <f>VLOOKUP(Table2[[#This Row],[Course Title]],'TSD-Data'!$A$1:$E$56,5,FALSE)</f>
        <v>3</v>
      </c>
      <c r="U502" s="465">
        <v>72</v>
      </c>
      <c r="V502" s="465">
        <f>Table2[[#This Row],[Quotas]]-Table2[[#This Row],[Open Quotas]]</f>
        <v>1</v>
      </c>
      <c r="W502" s="465"/>
      <c r="X502" s="465"/>
      <c r="Y502" s="466"/>
      <c r="Z502" s="465"/>
      <c r="AA502" s="465"/>
      <c r="AB502" s="466"/>
      <c r="AC502" s="465"/>
      <c r="AD502" s="466">
        <f ca="1">Table2[[#This Row],[End Date]]+2-TODAY()</f>
        <v>135</v>
      </c>
      <c r="AE502" s="465">
        <f>IF(ISBLANK(Table2[[#This Row],[Received by]]),1,0)</f>
        <v>1</v>
      </c>
      <c r="AF502" s="465">
        <f ca="1">IF(Table2[[#This Row],[Start Date]]&gt;TODAY(),1,)</f>
        <v>1</v>
      </c>
      <c r="AG502" s="465">
        <f>IF(ISBLANK(Table2[[#This Row],[Primary Instructor]]),0,1)</f>
        <v>1</v>
      </c>
      <c r="AH502" s="465">
        <f>IF(ISBLANK(Table2[[#This Row],[Instructor 2]]),0,1)</f>
        <v>1</v>
      </c>
      <c r="AI502" s="465">
        <f>Table2[[#This Row],[Course Length (Hours)]]/(SUM(Table2[[#This Row],[1]:[2]]))</f>
        <v>12</v>
      </c>
      <c r="AJ502" s="465">
        <v>24</v>
      </c>
      <c r="AK502" s="467">
        <v>4</v>
      </c>
    </row>
    <row r="503" spans="1:37" s="408" customFormat="1" x14ac:dyDescent="0.25">
      <c r="A503" s="462"/>
      <c r="B503" s="426" t="s">
        <v>61</v>
      </c>
      <c r="C503" s="463" t="str">
        <f>VLOOKUP(Table2[[#This Row],[Course Title]],'TSD-Data'!$A$1:$E$56,2,FALSE)</f>
        <v>A-493-0078</v>
      </c>
      <c r="D503" s="463">
        <f>VLOOKUP(Table2[[#This Row],[Course Title]],'TSD-Data'!$A$1:$E$56,3,FALSE)</f>
        <v>1228</v>
      </c>
      <c r="E503" s="426" t="s">
        <v>86</v>
      </c>
      <c r="F503" s="428">
        <v>45908</v>
      </c>
      <c r="G503" s="428">
        <v>45911</v>
      </c>
      <c r="H503" s="464"/>
      <c r="I503" s="469">
        <v>0.5</v>
      </c>
      <c r="J503" s="469">
        <v>0.375</v>
      </c>
      <c r="K503" s="469">
        <v>0.79166666666666663</v>
      </c>
      <c r="L503" s="469">
        <v>0.75</v>
      </c>
      <c r="M503" s="469">
        <v>0.25</v>
      </c>
      <c r="N503" s="469">
        <v>4.1666666666666664E-2</v>
      </c>
      <c r="O503" s="462" t="s">
        <v>304</v>
      </c>
      <c r="P503" s="462"/>
      <c r="Q503" s="365"/>
      <c r="R503" s="465">
        <f>VLOOKUP(Table2[[#This Row],[Course Title]],'TSD-Data'!$A$1:$E$56,4,FALSE)</f>
        <v>45</v>
      </c>
      <c r="S503" s="465">
        <f>VLOOKUP(Table2[[#This Row],[Course Title]],'TSD-Data'!$A$1:$F$53,6,FALSE)</f>
        <v>32</v>
      </c>
      <c r="T503" s="465">
        <f>VLOOKUP(Table2[[#This Row],[Course Title]],'TSD-Data'!$A$1:$E$56,5,FALSE)</f>
        <v>4</v>
      </c>
      <c r="U503" s="465">
        <v>840</v>
      </c>
      <c r="V503" s="465">
        <f ca="1">Table2[[#This Row],[Quotas]]-Table2[[#This Row],[Open Quotas]]</f>
        <v>0</v>
      </c>
      <c r="W503" s="465"/>
      <c r="X503" s="465"/>
      <c r="Y503" s="466"/>
      <c r="Z503" s="465"/>
      <c r="AA503" s="465"/>
      <c r="AB503" s="465"/>
      <c r="AC503" s="465"/>
      <c r="AD503" s="466">
        <f ca="1">Table2[[#This Row],[End Date]]+2-TODAY()</f>
        <v>136</v>
      </c>
      <c r="AE503" s="465">
        <f>IF(ISBLANK(Table2[[#This Row],[Received by]]),1,0)</f>
        <v>1</v>
      </c>
      <c r="AF503" s="465">
        <f ca="1">IF(Table2[[#This Row],[Start Date]]&gt;TODAY(),1,)</f>
        <v>1</v>
      </c>
      <c r="AG503" s="465">
        <f>IF(ISBLANK(Table2[[#This Row],[Primary Instructor]]),0,1)</f>
        <v>1</v>
      </c>
      <c r="AH503" s="465">
        <f>IF(ISBLANK(Table2[[#This Row],[Instructor 2]]),0,1)</f>
        <v>0</v>
      </c>
      <c r="AI503" s="465">
        <f>Table2[[#This Row],[Course Length (Hours)]]/(SUM(Table2[[#This Row],[1]:[2]]))</f>
        <v>32</v>
      </c>
      <c r="AJ503" s="465">
        <f ca="1">Table2[[#This Row],[Quotas]]-Table2[[#This Row],[Registered]]</f>
        <v>45</v>
      </c>
      <c r="AK503" s="467">
        <v>4</v>
      </c>
    </row>
    <row r="504" spans="1:37" s="408" customFormat="1" x14ac:dyDescent="0.25">
      <c r="A504" s="462"/>
      <c r="B504" s="426" t="s">
        <v>52</v>
      </c>
      <c r="C504" s="463" t="str">
        <f>VLOOKUP(Table2[[#This Row],[Course Title]],'TSD-Data'!$A$1:$E$56,2,FALSE)</f>
        <v>A-493-0085</v>
      </c>
      <c r="D504" s="463">
        <f>VLOOKUP(Table2[[#This Row],[Course Title]],'TSD-Data'!$A$1:$E$56,3,FALSE)</f>
        <v>3555</v>
      </c>
      <c r="E504" s="426" t="s">
        <v>86</v>
      </c>
      <c r="F504" s="428">
        <v>45908</v>
      </c>
      <c r="G504" s="428">
        <v>45911</v>
      </c>
      <c r="H504" s="428"/>
      <c r="I504" s="469">
        <v>0.5</v>
      </c>
      <c r="J504" s="469">
        <v>0.375</v>
      </c>
      <c r="K504" s="469">
        <v>0.79166666666666663</v>
      </c>
      <c r="L504" s="469">
        <v>0.75</v>
      </c>
      <c r="M504" s="469">
        <v>0.25</v>
      </c>
      <c r="N504" s="469">
        <v>4.1666666666666664E-2</v>
      </c>
      <c r="O504" s="462" t="s">
        <v>316</v>
      </c>
      <c r="P504" s="462"/>
      <c r="Q504" s="365"/>
      <c r="R504" s="465">
        <f>VLOOKUP(Table2[[#This Row],[Course Title]],'TSD-Data'!$A$1:$E$56,4,FALSE)</f>
        <v>45</v>
      </c>
      <c r="S504" s="465">
        <f>VLOOKUP(Table2[[#This Row],[Course Title]],'TSD-Data'!$A$1:$F$53,6,FALSE)</f>
        <v>32</v>
      </c>
      <c r="T504" s="465">
        <f>VLOOKUP(Table2[[#This Row],[Course Title]],'TSD-Data'!$A$1:$E$56,5,FALSE)</f>
        <v>4</v>
      </c>
      <c r="U504" s="465">
        <v>503</v>
      </c>
      <c r="V504" s="465">
        <f ca="1">Table2[[#This Row],[Quotas]]-Table2[[#This Row],[Open Quotas]]</f>
        <v>0</v>
      </c>
      <c r="W504" s="465"/>
      <c r="X504" s="465"/>
      <c r="Y504" s="466"/>
      <c r="Z504" s="465"/>
      <c r="AA504" s="465"/>
      <c r="AB504" s="465"/>
      <c r="AC504" s="465"/>
      <c r="AD504" s="466">
        <f ca="1">Table2[[#This Row],[End Date]]+2-TODAY()</f>
        <v>136</v>
      </c>
      <c r="AE504" s="465">
        <f>IF(ISBLANK(Table2[[#This Row],[Received by]]),1,0)</f>
        <v>1</v>
      </c>
      <c r="AF504" s="465">
        <f ca="1">IF(Table2[[#This Row],[Start Date]]&gt;TODAY(),1,)</f>
        <v>1</v>
      </c>
      <c r="AG504" s="465">
        <f>IF(ISBLANK(Table2[[#This Row],[Primary Instructor]]),0,1)</f>
        <v>1</v>
      </c>
      <c r="AH504" s="465">
        <f>IF(ISBLANK(Table2[[#This Row],[Instructor 2]]),0,1)</f>
        <v>0</v>
      </c>
      <c r="AI504" s="465">
        <f>Table2[[#This Row],[Course Length (Hours)]]/(SUM(Table2[[#This Row],[1]:[2]]))</f>
        <v>32</v>
      </c>
      <c r="AJ504" s="465">
        <f ca="1">Table2[[#This Row],[Quotas]]-Table2[[#This Row],[Registered]]</f>
        <v>45</v>
      </c>
      <c r="AK504" s="467">
        <v>4</v>
      </c>
    </row>
    <row r="505" spans="1:37" s="408" customFormat="1" x14ac:dyDescent="0.25">
      <c r="A505" s="463"/>
      <c r="B505" s="426" t="s">
        <v>39</v>
      </c>
      <c r="C505" s="463" t="str">
        <f>VLOOKUP(Table2[[#This Row],[Course Title]],'TSD-Data'!$A$1:$E$56,2,FALSE)</f>
        <v>A-570-0100</v>
      </c>
      <c r="D505" s="463" t="str">
        <f>VLOOKUP(Table2[[#This Row],[Course Title]],'TSD-Data'!$A$1:$E$56,3,FALSE)</f>
        <v>18B7</v>
      </c>
      <c r="E505" s="426" t="s">
        <v>86</v>
      </c>
      <c r="F505" s="428">
        <v>45908</v>
      </c>
      <c r="G505" s="428">
        <v>45909</v>
      </c>
      <c r="H505" s="464"/>
      <c r="I505" s="469">
        <v>0.5</v>
      </c>
      <c r="J505" s="469">
        <v>0.375</v>
      </c>
      <c r="K505" s="469">
        <v>0.79166666666666663</v>
      </c>
      <c r="L505" s="469">
        <v>0.75</v>
      </c>
      <c r="M505" s="469">
        <v>0.25</v>
      </c>
      <c r="N505" s="469">
        <v>4.1666666666666664E-2</v>
      </c>
      <c r="O505" s="462" t="s">
        <v>288</v>
      </c>
      <c r="P505" s="462"/>
      <c r="Q505" s="365"/>
      <c r="R505" s="465">
        <f>VLOOKUP(Table2[[#This Row],[Course Title]],'TSD-Data'!$A$1:$E$56,4,FALSE)</f>
        <v>45</v>
      </c>
      <c r="S505" s="465">
        <f>VLOOKUP(Table2[[#This Row],[Course Title]],'TSD-Data'!$A$1:$F$53,6,FALSE)</f>
        <v>16</v>
      </c>
      <c r="T505" s="465">
        <f>VLOOKUP(Table2[[#This Row],[Course Title]],'TSD-Data'!$A$1:$E$56,5,FALSE)</f>
        <v>2</v>
      </c>
      <c r="U505" s="465">
        <v>621</v>
      </c>
      <c r="V505" s="465">
        <f>Table2[[#This Row],[Quotas]]-Table2[[#This Row],[Open Quotas]]</f>
        <v>2</v>
      </c>
      <c r="W505" s="465"/>
      <c r="X505" s="470"/>
      <c r="Y505" s="470"/>
      <c r="Z505" s="463"/>
      <c r="AA505" s="463"/>
      <c r="AB505" s="470"/>
      <c r="AC505" s="465"/>
      <c r="AD505" s="466">
        <f ca="1">Table2[[#This Row],[End Date]]+2-TODAY()</f>
        <v>134</v>
      </c>
      <c r="AE505" s="465">
        <f>IF(ISBLANK(Table2[[#This Row],[Received by]]),1,0)</f>
        <v>1</v>
      </c>
      <c r="AF505" s="465">
        <f ca="1">IF(Table2[[#This Row],[Start Date]]&gt;TODAY(),1,)</f>
        <v>1</v>
      </c>
      <c r="AG505" s="465">
        <f>IF(ISBLANK(Table2[[#This Row],[Primary Instructor]]),0,1)</f>
        <v>1</v>
      </c>
      <c r="AH505" s="465">
        <f>IF(ISBLANK(Table2[[#This Row],[Instructor 2]]),0,1)</f>
        <v>0</v>
      </c>
      <c r="AI505" s="465">
        <f>Table2[[#This Row],[Course Length (Hours)]]/(SUM(Table2[[#This Row],[1]:[2]]))</f>
        <v>16</v>
      </c>
      <c r="AJ505" s="465">
        <v>43</v>
      </c>
      <c r="AK505" s="467">
        <v>4</v>
      </c>
    </row>
    <row r="506" spans="1:37" s="408" customFormat="1" x14ac:dyDescent="0.25">
      <c r="A506" s="462" t="s">
        <v>531</v>
      </c>
      <c r="B506" s="426" t="s">
        <v>53</v>
      </c>
      <c r="C506" s="463" t="str">
        <f>VLOOKUP(Table2[[#This Row],[Course Title]],'TSD-Data'!$A$1:$E$56,2,FALSE)</f>
        <v>A-493-0072</v>
      </c>
      <c r="D506" s="463" t="str">
        <f>VLOOKUP(Table2[[#This Row],[Course Title]],'TSD-Data'!$A$1:$E$56,3,FALSE)</f>
        <v>713U</v>
      </c>
      <c r="E506" s="426" t="s">
        <v>167</v>
      </c>
      <c r="F506" s="428">
        <v>45908</v>
      </c>
      <c r="G506" s="428">
        <v>45912</v>
      </c>
      <c r="H506" s="464">
        <v>0.33333333333333331</v>
      </c>
      <c r="I506" s="464"/>
      <c r="J506" s="428"/>
      <c r="K506" s="428"/>
      <c r="L506" s="428"/>
      <c r="M506" s="428"/>
      <c r="N506" s="428"/>
      <c r="O506" s="462" t="s">
        <v>315</v>
      </c>
      <c r="P506" s="462"/>
      <c r="Q506" s="431" t="s">
        <v>282</v>
      </c>
      <c r="R506" s="465">
        <f>VLOOKUP(Table2[[#This Row],[Course Title]],'TSD-Data'!$A$1:$E$56,4,FALSE)</f>
        <v>30</v>
      </c>
      <c r="S506" s="465">
        <f>VLOOKUP(Table2[[#This Row],[Course Title]],'TSD-Data'!$A$1:$F$53,6,FALSE)</f>
        <v>40</v>
      </c>
      <c r="T506" s="465">
        <f>VLOOKUP(Table2[[#This Row],[Course Title]],'TSD-Data'!$A$1:$E$56,5,FALSE)</f>
        <v>5</v>
      </c>
      <c r="U506" s="465">
        <v>38</v>
      </c>
      <c r="V506" s="465">
        <f ca="1">Table2[[#This Row],[Quotas]]-Table2[[#This Row],[Open Quotas]]</f>
        <v>0</v>
      </c>
      <c r="W506" s="465"/>
      <c r="X506" s="465"/>
      <c r="Y506" s="466"/>
      <c r="Z506" s="465"/>
      <c r="AA506" s="465"/>
      <c r="AB506" s="465"/>
      <c r="AC506" s="465"/>
      <c r="AD506" s="466">
        <f ca="1">Table2[[#This Row],[End Date]]+2-TODAY()</f>
        <v>137</v>
      </c>
      <c r="AE506" s="465">
        <f>IF(ISBLANK(Table2[[#This Row],[Received by]]),1,0)</f>
        <v>1</v>
      </c>
      <c r="AF506" s="465">
        <f ca="1">IF(Table2[[#This Row],[Start Date]]&gt;TODAY(),1,)</f>
        <v>1</v>
      </c>
      <c r="AG506" s="465">
        <f>IF(ISBLANK(Table2[[#This Row],[Primary Instructor]]),0,1)</f>
        <v>1</v>
      </c>
      <c r="AH506" s="465">
        <f>IF(ISBLANK(Table2[[#This Row],[Instructor 2]]),0,1)</f>
        <v>0</v>
      </c>
      <c r="AI506" s="465">
        <f>Table2[[#This Row],[Course Length (Hours)]]/(SUM(Table2[[#This Row],[1]:[2]]))</f>
        <v>40</v>
      </c>
      <c r="AJ506" s="465">
        <f ca="1">Table2[[#This Row],[Quotas]]-Table2[[#This Row],[Registered]]</f>
        <v>30</v>
      </c>
      <c r="AK506" s="467">
        <v>4</v>
      </c>
    </row>
    <row r="507" spans="1:37" s="408" customFormat="1" x14ac:dyDescent="0.25">
      <c r="A507" s="462"/>
      <c r="B507" s="426" t="s">
        <v>33</v>
      </c>
      <c r="C507" s="463" t="str">
        <f>VLOOKUP(Table2[[#This Row],[Course Title]],'TSD-Data'!$A$1:$E$56,2,FALSE)</f>
        <v>A-493-2301</v>
      </c>
      <c r="D507" s="463" t="str">
        <f>VLOOKUP(Table2[[#This Row],[Course Title]],'TSD-Data'!$A$1:$E$56,3,FALSE)</f>
        <v>05ZD</v>
      </c>
      <c r="E507" s="426" t="s">
        <v>209</v>
      </c>
      <c r="F507" s="428">
        <v>45909</v>
      </c>
      <c r="G507" s="428">
        <v>45909</v>
      </c>
      <c r="H507" s="464">
        <v>0.33333333333333331</v>
      </c>
      <c r="I507" s="464"/>
      <c r="J507" s="464"/>
      <c r="K507" s="464"/>
      <c r="L507" s="464"/>
      <c r="M507" s="464"/>
      <c r="N507" s="464"/>
      <c r="O507" s="462" t="s">
        <v>280</v>
      </c>
      <c r="P507" s="462"/>
      <c r="Q507" s="365"/>
      <c r="R507" s="465">
        <f>VLOOKUP(Table2[[#This Row],[Course Title]],'TSD-Data'!$A$1:$E$56,4,FALSE)</f>
        <v>30</v>
      </c>
      <c r="S507" s="465">
        <f>VLOOKUP(Table2[[#This Row],[Course Title]],'TSD-Data'!$A$1:$F$53,6,FALSE)</f>
        <v>8</v>
      </c>
      <c r="T507" s="465">
        <f>VLOOKUP(Table2[[#This Row],[Course Title]],'TSD-Data'!$A$1:$E$56,5,FALSE)</f>
        <v>1</v>
      </c>
      <c r="U507" s="465">
        <v>62</v>
      </c>
      <c r="V507" s="465">
        <f ca="1">Table2[[#This Row],[Quotas]]-Table2[[#This Row],[Open Quotas]]</f>
        <v>0</v>
      </c>
      <c r="W507" s="465"/>
      <c r="X507" s="465"/>
      <c r="Y507" s="466"/>
      <c r="Z507" s="465"/>
      <c r="AA507" s="465"/>
      <c r="AB507" s="463"/>
      <c r="AC507" s="465"/>
      <c r="AD507" s="466">
        <f ca="1">Table2[[#This Row],[End Date]]+2-TODAY()</f>
        <v>134</v>
      </c>
      <c r="AE507" s="465">
        <f>IF(ISBLANK(Table2[[#This Row],[Received by]]),1,0)</f>
        <v>1</v>
      </c>
      <c r="AF507" s="465">
        <f ca="1">IF(Table2[[#This Row],[Start Date]]&gt;TODAY(),1,)</f>
        <v>1</v>
      </c>
      <c r="AG507" s="465">
        <f>IF(ISBLANK(Table2[[#This Row],[Primary Instructor]]),0,1)</f>
        <v>1</v>
      </c>
      <c r="AH507" s="465">
        <f>IF(ISBLANK(Table2[[#This Row],[Instructor 2]]),0,1)</f>
        <v>0</v>
      </c>
      <c r="AI507" s="465">
        <f>Table2[[#This Row],[Course Length (Hours)]]/(SUM(Table2[[#This Row],[1]:[2]]))</f>
        <v>8</v>
      </c>
      <c r="AJ507" s="465">
        <f ca="1">Table2[[#This Row],[Quotas]]-Table2[[#This Row],[Registered]]</f>
        <v>30</v>
      </c>
      <c r="AK507" s="467">
        <v>4</v>
      </c>
    </row>
    <row r="508" spans="1:37" s="408" customFormat="1" x14ac:dyDescent="0.25">
      <c r="A508" s="462"/>
      <c r="B508" s="426" t="s">
        <v>35</v>
      </c>
      <c r="C508" s="463" t="str">
        <f>VLOOKUP(Table2[[#This Row],[Course Title]],'TSD-Data'!$A$1:$E$56,2,FALSE)</f>
        <v>A-493-2501</v>
      </c>
      <c r="D508" s="463" t="str">
        <f>VLOOKUP(Table2[[#This Row],[Course Title]],'TSD-Data'!$A$1:$E$56,3,FALSE)</f>
        <v>05ZE</v>
      </c>
      <c r="E508" s="426" t="s">
        <v>209</v>
      </c>
      <c r="F508" s="428">
        <v>45910</v>
      </c>
      <c r="G508" s="428">
        <v>45910</v>
      </c>
      <c r="H508" s="464">
        <v>0.33333333333333331</v>
      </c>
      <c r="I508" s="464"/>
      <c r="J508" s="464"/>
      <c r="K508" s="464"/>
      <c r="L508" s="464"/>
      <c r="M508" s="464"/>
      <c r="N508" s="464"/>
      <c r="O508" s="462" t="s">
        <v>280</v>
      </c>
      <c r="P508" s="462"/>
      <c r="Q508" s="365"/>
      <c r="R508" s="465">
        <f>VLOOKUP(Table2[[#This Row],[Course Title]],'TSD-Data'!$A$1:$E$56,4,FALSE)</f>
        <v>30</v>
      </c>
      <c r="S508" s="465">
        <f>VLOOKUP(Table2[[#This Row],[Course Title]],'TSD-Data'!$A$1:$F$53,6,FALSE)</f>
        <v>8</v>
      </c>
      <c r="T508" s="465">
        <f>VLOOKUP(Table2[[#This Row],[Course Title]],'TSD-Data'!$A$1:$E$56,5,FALSE)</f>
        <v>1</v>
      </c>
      <c r="U508" s="465">
        <v>60</v>
      </c>
      <c r="V508" s="465">
        <f ca="1">Table2[[#This Row],[Quotas]]-Table2[[#This Row],[Open Quotas]]</f>
        <v>0</v>
      </c>
      <c r="W508" s="465"/>
      <c r="X508" s="465"/>
      <c r="Y508" s="466"/>
      <c r="Z508" s="465"/>
      <c r="AA508" s="465"/>
      <c r="AB508" s="463"/>
      <c r="AC508" s="465"/>
      <c r="AD508" s="466">
        <f ca="1">Table2[[#This Row],[End Date]]+2-TODAY()</f>
        <v>135</v>
      </c>
      <c r="AE508" s="465">
        <f>IF(ISBLANK(Table2[[#This Row],[Received by]]),1,0)</f>
        <v>1</v>
      </c>
      <c r="AF508" s="465">
        <f ca="1">IF(Table2[[#This Row],[Start Date]]&gt;TODAY(),1,)</f>
        <v>1</v>
      </c>
      <c r="AG508" s="465">
        <f>IF(ISBLANK(Table2[[#This Row],[Primary Instructor]]),0,1)</f>
        <v>1</v>
      </c>
      <c r="AH508" s="465">
        <f>IF(ISBLANK(Table2[[#This Row],[Instructor 2]]),0,1)</f>
        <v>0</v>
      </c>
      <c r="AI508" s="465">
        <f>Table2[[#This Row],[Course Length (Hours)]]/(SUM(Table2[[#This Row],[1]:[2]]))</f>
        <v>8</v>
      </c>
      <c r="AJ508" s="465">
        <f ca="1">Table2[[#This Row],[Quotas]]-Table2[[#This Row],[Registered]]</f>
        <v>30</v>
      </c>
      <c r="AK508" s="467">
        <v>4</v>
      </c>
    </row>
    <row r="509" spans="1:37" s="408" customFormat="1" x14ac:dyDescent="0.25">
      <c r="A509" s="462"/>
      <c r="B509" s="426" t="s">
        <v>31</v>
      </c>
      <c r="C509" s="463" t="str">
        <f>VLOOKUP(Table2[[#This Row],[Course Title]],'TSD-Data'!$A$1:$E$56,2,FALSE)</f>
        <v>A-493-0083</v>
      </c>
      <c r="D509" s="463" t="str">
        <f>VLOOKUP(Table2[[#This Row],[Course Title]],'TSD-Data'!$A$1:$E$56,3,FALSE)</f>
        <v>339E</v>
      </c>
      <c r="E509" s="426" t="s">
        <v>204</v>
      </c>
      <c r="F509" s="428">
        <v>45911</v>
      </c>
      <c r="G509" s="428">
        <v>45911</v>
      </c>
      <c r="H509" s="464">
        <v>0.33333333333333331</v>
      </c>
      <c r="I509" s="464"/>
      <c r="J509" s="464"/>
      <c r="K509" s="464"/>
      <c r="L509" s="464"/>
      <c r="M509" s="464"/>
      <c r="N509" s="464"/>
      <c r="O509" s="462" t="s">
        <v>280</v>
      </c>
      <c r="P509" s="462"/>
      <c r="Q509" s="365"/>
      <c r="R509" s="465">
        <f>VLOOKUP(Table2[[#This Row],[Course Title]],'TSD-Data'!$A$1:$E$56,4,FALSE)</f>
        <v>30</v>
      </c>
      <c r="S509" s="465">
        <f>VLOOKUP(Table2[[#This Row],[Course Title]],'TSD-Data'!$A$1:$F$53,6,FALSE)</f>
        <v>8</v>
      </c>
      <c r="T509" s="465">
        <f>VLOOKUP(Table2[[#This Row],[Course Title]],'TSD-Data'!$A$1:$E$56,5,FALSE)</f>
        <v>1</v>
      </c>
      <c r="U509" s="465">
        <v>32</v>
      </c>
      <c r="V509" s="465">
        <f>Table2[[#This Row],[Quotas]]-Table2[[#This Row],[Open Quotas]]</f>
        <v>3</v>
      </c>
      <c r="W509" s="465"/>
      <c r="X509" s="465"/>
      <c r="Y509" s="466"/>
      <c r="Z509" s="465"/>
      <c r="AA509" s="465"/>
      <c r="AB509" s="463"/>
      <c r="AC509" s="465"/>
      <c r="AD509" s="466">
        <f ca="1">Table2[[#This Row],[End Date]]+2-TODAY()</f>
        <v>136</v>
      </c>
      <c r="AE509" s="465">
        <f>IF(ISBLANK(Table2[[#This Row],[Received by]]),1,0)</f>
        <v>1</v>
      </c>
      <c r="AF509" s="465">
        <f ca="1">IF(Table2[[#This Row],[Start Date]]&gt;TODAY(),1,)</f>
        <v>1</v>
      </c>
      <c r="AG509" s="465">
        <f>IF(ISBLANK(Table2[[#This Row],[Primary Instructor]]),0,1)</f>
        <v>1</v>
      </c>
      <c r="AH509" s="465">
        <f>IF(ISBLANK(Table2[[#This Row],[Instructor 2]]),0,1)</f>
        <v>0</v>
      </c>
      <c r="AI509" s="465">
        <f>Table2[[#This Row],[Course Length (Hours)]]/(SUM(Table2[[#This Row],[1]:[2]]))</f>
        <v>8</v>
      </c>
      <c r="AJ509" s="465">
        <v>27</v>
      </c>
      <c r="AK509" s="467">
        <v>4</v>
      </c>
    </row>
    <row r="510" spans="1:37" s="408" customFormat="1" x14ac:dyDescent="0.25">
      <c r="A510" s="426"/>
      <c r="B510" s="426" t="s">
        <v>120</v>
      </c>
      <c r="C510" s="463" t="str">
        <f>VLOOKUP(Table2[[#This Row],[Course Title]],'TSD-Data'!$A$1:$E$56,2,FALSE)</f>
        <v>A-322-2604</v>
      </c>
      <c r="D510" s="463" t="str">
        <f>VLOOKUP(Table2[[#This Row],[Course Title]],'TSD-Data'!$A$1:$E$56,3,FALSE)</f>
        <v>10ZZ</v>
      </c>
      <c r="E510" s="426" t="s">
        <v>86</v>
      </c>
      <c r="F510" s="428">
        <v>45915</v>
      </c>
      <c r="G510" s="428">
        <v>45917</v>
      </c>
      <c r="H510" s="464"/>
      <c r="I510" s="464">
        <v>0.33333333333333331</v>
      </c>
      <c r="J510" s="464">
        <v>0.20833333333333334</v>
      </c>
      <c r="K510" s="464">
        <v>0.625</v>
      </c>
      <c r="L510" s="464">
        <v>0.54166666666666663</v>
      </c>
      <c r="M510" s="464">
        <v>8.3333333333333329E-2</v>
      </c>
      <c r="N510" s="464">
        <v>0.875</v>
      </c>
      <c r="O510" s="501" t="s">
        <v>288</v>
      </c>
      <c r="P510" s="462"/>
      <c r="Q510" s="365"/>
      <c r="R510" s="465">
        <f>VLOOKUP(Table2[[#This Row],[Course Title]],'TSD-Data'!$A$1:$E$56,4,FALSE)</f>
        <v>45</v>
      </c>
      <c r="S510" s="465">
        <f>VLOOKUP(Table2[[#This Row],[Course Title]],'TSD-Data'!$A$1:$F$53,6,FALSE)</f>
        <v>24</v>
      </c>
      <c r="T510" s="465">
        <f>VLOOKUP(Table2[[#This Row],[Course Title]],'TSD-Data'!$A$1:$E$56,5,FALSE)</f>
        <v>3</v>
      </c>
      <c r="U510" s="525">
        <v>357</v>
      </c>
      <c r="V510" s="465">
        <f>Table2[[#This Row],[Quotas]]-Table2[[#This Row],[Open Quotas]]</f>
        <v>2</v>
      </c>
      <c r="W510" s="465"/>
      <c r="X510" s="466"/>
      <c r="Y510" s="466"/>
      <c r="Z510" s="465"/>
      <c r="AA510" s="465"/>
      <c r="AB510" s="465"/>
      <c r="AC510" s="465"/>
      <c r="AD510" s="466">
        <f ca="1">Table2[[#This Row],[End Date]]+2-TODAY()</f>
        <v>142</v>
      </c>
      <c r="AE510" s="465">
        <f>IF(ISBLANK(Table2[[#This Row],[Received by]]),1,0)</f>
        <v>1</v>
      </c>
      <c r="AF510" s="465">
        <f ca="1">IF(Table2[[#This Row],[Start Date]]&gt;TODAY(),1,)</f>
        <v>1</v>
      </c>
      <c r="AG510" s="465">
        <f>IF(ISBLANK(Table2[[#This Row],[Primary Instructor]]),0,1)</f>
        <v>1</v>
      </c>
      <c r="AH510" s="465">
        <f>IF(ISBLANK(Table2[[#This Row],[Instructor 2]]),0,1)</f>
        <v>0</v>
      </c>
      <c r="AI510" s="465">
        <f>Table2[[#This Row],[Course Length (Hours)]]/(SUM(Table2[[#This Row],[1]:[2]]))</f>
        <v>24</v>
      </c>
      <c r="AJ510" s="465">
        <v>43</v>
      </c>
      <c r="AK510" s="467">
        <v>4</v>
      </c>
    </row>
    <row r="511" spans="1:37" s="408" customFormat="1" x14ac:dyDescent="0.25">
      <c r="A511" s="462"/>
      <c r="B511" s="426" t="s">
        <v>59</v>
      </c>
      <c r="C511" s="463" t="str">
        <f>VLOOKUP(Table2[[#This Row],[Course Title]],'TSD-Data'!$A$1:$E$56,2,FALSE)</f>
        <v>A-493-0550</v>
      </c>
      <c r="D511" s="463" t="str">
        <f>VLOOKUP(Table2[[#This Row],[Course Title]],'TSD-Data'!$A$1:$E$56,3,FALSE)</f>
        <v>09K5</v>
      </c>
      <c r="E511" s="426" t="s">
        <v>86</v>
      </c>
      <c r="F511" s="428">
        <v>45915</v>
      </c>
      <c r="G511" s="428">
        <v>45918</v>
      </c>
      <c r="H511" s="464"/>
      <c r="I511" s="469">
        <v>0.33333333333333331</v>
      </c>
      <c r="J511" s="464">
        <v>0.20833333333333334</v>
      </c>
      <c r="K511" s="464">
        <v>0.625</v>
      </c>
      <c r="L511" s="464">
        <v>0.54166666666666663</v>
      </c>
      <c r="M511" s="464">
        <v>8.3333333333333329E-2</v>
      </c>
      <c r="N511" s="464">
        <v>0.875</v>
      </c>
      <c r="O511" s="462" t="s">
        <v>330</v>
      </c>
      <c r="P511" s="462"/>
      <c r="Q511" s="365"/>
      <c r="R511" s="466">
        <f>VLOOKUP(Table2[[#This Row],[Course Title]],'TSD-Data'!$A$1:$E$56,4,FALSE)</f>
        <v>45</v>
      </c>
      <c r="S511" s="465">
        <f>VLOOKUP(Table2[[#This Row],[Course Title]],'TSD-Data'!$A$1:$F$53,6,FALSE)</f>
        <v>32</v>
      </c>
      <c r="T511" s="465">
        <f>VLOOKUP(Table2[[#This Row],[Course Title]],'TSD-Data'!$A$1:$E$56,5,FALSE)</f>
        <v>4</v>
      </c>
      <c r="U511" s="465">
        <v>845</v>
      </c>
      <c r="V511" s="465">
        <f>Table2[[#This Row],[Quotas]]-Table2[[#This Row],[Open Quotas]]</f>
        <v>1</v>
      </c>
      <c r="W511" s="465"/>
      <c r="X511" s="466"/>
      <c r="Y511" s="466"/>
      <c r="Z511" s="465"/>
      <c r="AA511" s="465"/>
      <c r="AB511" s="465"/>
      <c r="AC511" s="465"/>
      <c r="AD511" s="466">
        <f ca="1">Table2[[#This Row],[End Date]]+2-TODAY()</f>
        <v>143</v>
      </c>
      <c r="AE511" s="465">
        <f>IF(ISBLANK(Table2[[#This Row],[Received by]]),1,0)</f>
        <v>1</v>
      </c>
      <c r="AF511" s="465">
        <f ca="1">IF(Table2[[#This Row],[Start Date]]&gt;TODAY(),1,)</f>
        <v>1</v>
      </c>
      <c r="AG511" s="465">
        <f>IF(ISBLANK(Table2[[#This Row],[Primary Instructor]]),0,1)</f>
        <v>1</v>
      </c>
      <c r="AH511" s="465">
        <f>IF(ISBLANK(Table2[[#This Row],[Instructor 2]]),0,1)</f>
        <v>0</v>
      </c>
      <c r="AI511" s="465">
        <f>Table2[[#This Row],[Course Length (Hours)]]/(SUM(Table2[[#This Row],[1]:[2]]))</f>
        <v>32</v>
      </c>
      <c r="AJ511" s="465">
        <v>44</v>
      </c>
      <c r="AK511" s="467">
        <v>4</v>
      </c>
    </row>
    <row r="512" spans="1:37" s="408" customFormat="1" x14ac:dyDescent="0.25">
      <c r="A512" s="448"/>
      <c r="B512" s="426" t="s">
        <v>60</v>
      </c>
      <c r="C512" s="463" t="str">
        <f>VLOOKUP(Table2[[#This Row],[Course Title]],'TSD-Data'!$A$1:$E$56,2,FALSE)</f>
        <v>A-493-0073</v>
      </c>
      <c r="D512" s="463" t="str">
        <f>VLOOKUP(Table2[[#This Row],[Course Title]],'TSD-Data'!$A$1:$E$56,3,FALSE)</f>
        <v>714S</v>
      </c>
      <c r="E512" s="426" t="s">
        <v>86</v>
      </c>
      <c r="F512" s="428">
        <v>45915</v>
      </c>
      <c r="G512" s="428">
        <v>45918</v>
      </c>
      <c r="H512" s="468"/>
      <c r="I512" s="469">
        <v>8.3333333333333329E-2</v>
      </c>
      <c r="J512" s="469">
        <v>0.95833333333333337</v>
      </c>
      <c r="K512" s="469">
        <v>0.375</v>
      </c>
      <c r="L512" s="469">
        <v>0.33333333333333331</v>
      </c>
      <c r="M512" s="469">
        <v>0.83333333333333337</v>
      </c>
      <c r="N512" s="469">
        <v>0.625</v>
      </c>
      <c r="O512" s="462" t="s">
        <v>314</v>
      </c>
      <c r="P512" s="462"/>
      <c r="Q512" s="365"/>
      <c r="R512" s="465">
        <f>VLOOKUP(Table2[[#This Row],[Course Title]],'TSD-Data'!$A$1:$E$56,4,FALSE)</f>
        <v>30</v>
      </c>
      <c r="S512" s="465">
        <f>VLOOKUP(Table2[[#This Row],[Course Title]],'TSD-Data'!$A$1:$F$53,6,FALSE)</f>
        <v>32</v>
      </c>
      <c r="T512" s="465">
        <f>VLOOKUP(Table2[[#This Row],[Course Title]],'TSD-Data'!$A$1:$E$56,5,FALSE)</f>
        <v>4</v>
      </c>
      <c r="U512" s="465">
        <v>45</v>
      </c>
      <c r="V512" s="465">
        <f>Table2[[#This Row],[Quotas]]-Table2[[#This Row],[Open Quotas]]</f>
        <v>2</v>
      </c>
      <c r="W512" s="465"/>
      <c r="X512" s="465"/>
      <c r="Y512" s="466"/>
      <c r="Z512" s="465"/>
      <c r="AA512" s="465"/>
      <c r="AB512" s="465"/>
      <c r="AC512" s="465"/>
      <c r="AD512" s="466">
        <f ca="1">Table2[[#This Row],[End Date]]+2-TODAY()</f>
        <v>143</v>
      </c>
      <c r="AE512" s="465">
        <f>IF(ISBLANK(Table2[[#This Row],[Received by]]),1,0)</f>
        <v>1</v>
      </c>
      <c r="AF512" s="465">
        <f ca="1">IF(Table2[[#This Row],[Start Date]]&gt;TODAY(),1,)</f>
        <v>1</v>
      </c>
      <c r="AG512" s="465">
        <f>IF(ISBLANK(Table2[[#This Row],[Primary Instructor]]),0,1)</f>
        <v>1</v>
      </c>
      <c r="AH512" s="465">
        <f>IF(ISBLANK(Table2[[#This Row],[Instructor 2]]),0,1)</f>
        <v>0</v>
      </c>
      <c r="AI512" s="465">
        <f>Table2[[#This Row],[Course Length (Hours)]]/(SUM(Table2[[#This Row],[1]:[2]]))</f>
        <v>32</v>
      </c>
      <c r="AJ512" s="465">
        <v>28</v>
      </c>
      <c r="AK512" s="467">
        <v>4</v>
      </c>
    </row>
    <row r="513" spans="1:37" s="408" customFormat="1" x14ac:dyDescent="0.25">
      <c r="A513" s="462"/>
      <c r="B513" s="426" t="s">
        <v>53</v>
      </c>
      <c r="C513" s="463" t="str">
        <f>VLOOKUP(Table2[[#This Row],[Course Title]],'TSD-Data'!$A$1:$E$56,2,FALSE)</f>
        <v>A-493-0072</v>
      </c>
      <c r="D513" s="463" t="str">
        <f>VLOOKUP(Table2[[#This Row],[Course Title]],'TSD-Data'!$A$1:$E$56,3,FALSE)</f>
        <v>713U</v>
      </c>
      <c r="E513" s="426" t="s">
        <v>205</v>
      </c>
      <c r="F513" s="428">
        <v>45915</v>
      </c>
      <c r="G513" s="428">
        <v>45919</v>
      </c>
      <c r="H513" s="464">
        <v>0.33333333333333331</v>
      </c>
      <c r="I513" s="464"/>
      <c r="J513" s="428"/>
      <c r="K513" s="428"/>
      <c r="L513" s="428"/>
      <c r="M513" s="428"/>
      <c r="N513" s="428"/>
      <c r="O513" s="462" t="s">
        <v>315</v>
      </c>
      <c r="P513" s="462"/>
      <c r="Q513" s="431" t="s">
        <v>282</v>
      </c>
      <c r="R513" s="465">
        <f>VLOOKUP(Table2[[#This Row],[Course Title]],'TSD-Data'!$A$1:$E$56,4,FALSE)</f>
        <v>30</v>
      </c>
      <c r="S513" s="465">
        <f>VLOOKUP(Table2[[#This Row],[Course Title]],'TSD-Data'!$A$1:$F$53,6,FALSE)</f>
        <v>40</v>
      </c>
      <c r="T513" s="465">
        <f>VLOOKUP(Table2[[#This Row],[Course Title]],'TSD-Data'!$A$1:$E$56,5,FALSE)</f>
        <v>5</v>
      </c>
      <c r="U513" s="465">
        <v>152</v>
      </c>
      <c r="V513" s="465">
        <f ca="1">Table2[[#This Row],[Quotas]]-Table2[[#This Row],[Open Quotas]]</f>
        <v>0</v>
      </c>
      <c r="W513" s="465"/>
      <c r="X513" s="465"/>
      <c r="Y513" s="466"/>
      <c r="Z513" s="465"/>
      <c r="AA513" s="465"/>
      <c r="AB513" s="465"/>
      <c r="AC513" s="465"/>
      <c r="AD513" s="466">
        <f ca="1">Table2[[#This Row],[End Date]]+2-TODAY()</f>
        <v>144</v>
      </c>
      <c r="AE513" s="465">
        <f>IF(ISBLANK(Table2[[#This Row],[Received by]]),1,0)</f>
        <v>1</v>
      </c>
      <c r="AF513" s="465">
        <f ca="1">IF(Table2[[#This Row],[Start Date]]&gt;TODAY(),1,)</f>
        <v>1</v>
      </c>
      <c r="AG513" s="465">
        <f>IF(ISBLANK(Table2[[#This Row],[Primary Instructor]]),0,1)</f>
        <v>1</v>
      </c>
      <c r="AH513" s="465">
        <f>IF(ISBLANK(Table2[[#This Row],[Instructor 2]]),0,1)</f>
        <v>0</v>
      </c>
      <c r="AI513" s="465">
        <f>Table2[[#This Row],[Course Length (Hours)]]/(SUM(Table2[[#This Row],[1]:[2]]))</f>
        <v>40</v>
      </c>
      <c r="AJ513" s="465">
        <f ca="1">Table2[[#This Row],[Quotas]]-Table2[[#This Row],[Registered]]</f>
        <v>30</v>
      </c>
      <c r="AK513" s="467">
        <v>4</v>
      </c>
    </row>
    <row r="514" spans="1:37" s="408" customFormat="1" x14ac:dyDescent="0.25">
      <c r="A514" s="462"/>
      <c r="B514" s="426" t="s">
        <v>338</v>
      </c>
      <c r="C514" s="463" t="str">
        <f>VLOOKUP(Table2[[#This Row],[Course Title]],'TSD-Data'!$A$1:$E$56,2,FALSE)</f>
        <v>A-4J-0019</v>
      </c>
      <c r="D514" s="463" t="s">
        <v>544</v>
      </c>
      <c r="E514" s="426" t="s">
        <v>200</v>
      </c>
      <c r="F514" s="428">
        <v>45915</v>
      </c>
      <c r="G514" s="428">
        <v>45919</v>
      </c>
      <c r="H514" s="464">
        <v>0.33333333333333331</v>
      </c>
      <c r="I514" s="464"/>
      <c r="J514" s="428"/>
      <c r="K514" s="428"/>
      <c r="L514" s="428"/>
      <c r="M514" s="428"/>
      <c r="N514" s="428"/>
      <c r="O514" s="462" t="s">
        <v>327</v>
      </c>
      <c r="P514" s="508" t="s">
        <v>329</v>
      </c>
      <c r="Q514" s="365"/>
      <c r="R514" s="466">
        <f>VLOOKUP(Table2[[#This Row],[Course Title]],'TSD-Data'!$A$1:$E$56,4,FALSE)</f>
        <v>20</v>
      </c>
      <c r="S514" s="465">
        <f>VLOOKUP(Table2[[#This Row],[Course Title]],'TSD-Data'!$A$1:$F$53,6,FALSE)</f>
        <v>40</v>
      </c>
      <c r="T514" s="470">
        <f>VLOOKUP(Table2[[#This Row],[Course Title]],'TSD-Data'!$A$1:$E$56,5,FALSE)</f>
        <v>5</v>
      </c>
      <c r="U514" s="470">
        <v>351</v>
      </c>
      <c r="V514" s="470">
        <f>Table2[[#This Row],[Quotas]]-Table2[[#This Row],[Open Quotas]]</f>
        <v>20</v>
      </c>
      <c r="W514" s="470">
        <v>20</v>
      </c>
      <c r="X514" s="466"/>
      <c r="Y514" s="466"/>
      <c r="Z514" s="465"/>
      <c r="AA514" s="465"/>
      <c r="AB514" s="465"/>
      <c r="AC514" s="465"/>
      <c r="AD514" s="466">
        <f ca="1">Table2[[#This Row],[End Date]]+2-TODAY()</f>
        <v>144</v>
      </c>
      <c r="AE514" s="465">
        <f>IF(ISBLANK(Table2[[#This Row],[Received by]]),1,0)</f>
        <v>1</v>
      </c>
      <c r="AF514" s="465">
        <f ca="1">IF(Table2[[#This Row],[Start Date]]&gt;TODAY(),1,)</f>
        <v>1</v>
      </c>
      <c r="AG514" s="465">
        <f>IF(ISBLANK(Table2[[#This Row],[Primary Instructor]]),0,1)</f>
        <v>1</v>
      </c>
      <c r="AH514" s="465">
        <f>IF(ISBLANK(Table2[[#This Row],[Instructor 2]]),0,1)</f>
        <v>1</v>
      </c>
      <c r="AI514" s="465">
        <f>Table2[[#This Row],[Course Length (Hours)]]/(SUM(Table2[[#This Row],[1]:[2]]))</f>
        <v>20</v>
      </c>
      <c r="AJ514" s="465">
        <v>0</v>
      </c>
      <c r="AK514" s="467">
        <v>4</v>
      </c>
    </row>
    <row r="515" spans="1:37" s="408" customFormat="1" x14ac:dyDescent="0.25">
      <c r="A515" s="463"/>
      <c r="B515" s="426" t="s">
        <v>40</v>
      </c>
      <c r="C515" s="463" t="str">
        <f>VLOOKUP(Table2[[#This Row],[Course Title]],'TSD-Data'!$A$1:$E$56,2,FALSE)</f>
        <v>A-493-2098</v>
      </c>
      <c r="D515" s="463" t="str">
        <f>VLOOKUP(Table2[[#This Row],[Course Title]],'TSD-Data'!$A$1:$E$56,3,FALSE)</f>
        <v>09WW</v>
      </c>
      <c r="E515" s="426" t="s">
        <v>86</v>
      </c>
      <c r="F515" s="428">
        <v>45915</v>
      </c>
      <c r="G515" s="428">
        <v>45917</v>
      </c>
      <c r="H515" s="464"/>
      <c r="I515" s="469">
        <v>0.5</v>
      </c>
      <c r="J515" s="469">
        <v>0.375</v>
      </c>
      <c r="K515" s="469">
        <v>0.79166666666666663</v>
      </c>
      <c r="L515" s="469">
        <v>0.75</v>
      </c>
      <c r="M515" s="469">
        <v>0.25</v>
      </c>
      <c r="N515" s="469">
        <v>4.1666666666666664E-2</v>
      </c>
      <c r="O515" s="462" t="s">
        <v>274</v>
      </c>
      <c r="P515" s="462"/>
      <c r="Q515" s="365"/>
      <c r="R515" s="465">
        <f>VLOOKUP(Table2[[#This Row],[Course Title]],'TSD-Data'!$A$1:$E$56,4,FALSE)</f>
        <v>100</v>
      </c>
      <c r="S515" s="465">
        <f>VLOOKUP(Table2[[#This Row],[Course Title]],'TSD-Data'!$A$1:$F$53,6,FALSE)</f>
        <v>16</v>
      </c>
      <c r="T515" s="465">
        <f>VLOOKUP(Table2[[#This Row],[Course Title]],'TSD-Data'!$A$1:$E$56,5,FALSE)</f>
        <v>2</v>
      </c>
      <c r="U515" s="465">
        <v>722</v>
      </c>
      <c r="V515" s="465">
        <f>Table2[[#This Row],[Quotas]]-Table2[[#This Row],[Open Quotas]]</f>
        <v>6</v>
      </c>
      <c r="W515" s="465"/>
      <c r="X515" s="470"/>
      <c r="Y515" s="470"/>
      <c r="Z515" s="463"/>
      <c r="AA515" s="463"/>
      <c r="AB515" s="470"/>
      <c r="AC515" s="465"/>
      <c r="AD515" s="466">
        <f ca="1">Table2[[#This Row],[End Date]]+2-TODAY()</f>
        <v>142</v>
      </c>
      <c r="AE515" s="465">
        <f>IF(ISBLANK(Table2[[#This Row],[Received by]]),1,0)</f>
        <v>1</v>
      </c>
      <c r="AF515" s="465">
        <f ca="1">IF(Table2[[#This Row],[Start Date]]&gt;TODAY(),1,)</f>
        <v>1</v>
      </c>
      <c r="AG515" s="465">
        <f>IF(ISBLANK(Table2[[#This Row],[Primary Instructor]]),0,1)</f>
        <v>1</v>
      </c>
      <c r="AH515" s="465">
        <f>IF(ISBLANK(Table2[[#This Row],[Instructor 2]]),0,1)</f>
        <v>0</v>
      </c>
      <c r="AI515" s="465">
        <f>Table2[[#This Row],[Course Length (Hours)]]/(SUM(Table2[[#This Row],[1]:[2]]))</f>
        <v>16</v>
      </c>
      <c r="AJ515" s="465">
        <v>94</v>
      </c>
      <c r="AK515" s="467">
        <v>4</v>
      </c>
    </row>
    <row r="516" spans="1:37" s="408" customFormat="1" x14ac:dyDescent="0.25">
      <c r="A516" s="462"/>
      <c r="B516" s="426" t="s">
        <v>57</v>
      </c>
      <c r="C516" s="463" t="str">
        <f>VLOOKUP(Table2[[#This Row],[Course Title]],'TSD-Data'!$A$1:$E$56,2,FALSE)</f>
        <v>A-493-0099</v>
      </c>
      <c r="D516" s="463" t="str">
        <f>VLOOKUP(Table2[[#This Row],[Course Title]],'TSD-Data'!$A$1:$E$56,3,FALSE)</f>
        <v>12JW</v>
      </c>
      <c r="E516" s="426" t="s">
        <v>86</v>
      </c>
      <c r="F516" s="428">
        <v>45916</v>
      </c>
      <c r="G516" s="428">
        <v>45918</v>
      </c>
      <c r="H516" s="464"/>
      <c r="I516" s="464">
        <v>0.33333333333333331</v>
      </c>
      <c r="J516" s="464">
        <v>0.20833333333333334</v>
      </c>
      <c r="K516" s="464">
        <v>0.625</v>
      </c>
      <c r="L516" s="464">
        <v>0.54166666666666663</v>
      </c>
      <c r="M516" s="464">
        <v>8.3333333333333329E-2</v>
      </c>
      <c r="N516" s="464">
        <v>0.875</v>
      </c>
      <c r="O516" s="462" t="s">
        <v>305</v>
      </c>
      <c r="P516" s="462"/>
      <c r="Q516" s="365"/>
      <c r="R516" s="466">
        <f>VLOOKUP(Table2[[#This Row],[Course Title]],'TSD-Data'!$A$1:$E$56,4,FALSE)</f>
        <v>45</v>
      </c>
      <c r="S516" s="465">
        <f>VLOOKUP(Table2[[#This Row],[Course Title]],'TSD-Data'!$A$1:$F$53,6,FALSE)</f>
        <v>24</v>
      </c>
      <c r="T516" s="465">
        <f>VLOOKUP(Table2[[#This Row],[Course Title]],'TSD-Data'!$A$1:$E$56,5,FALSE)</f>
        <v>3</v>
      </c>
      <c r="U516" s="465">
        <v>368</v>
      </c>
      <c r="V516" s="465">
        <f>Table2[[#This Row],[Quotas]]-Table2[[#This Row],[Open Quotas]]</f>
        <v>4</v>
      </c>
      <c r="W516" s="465"/>
      <c r="X516" s="466"/>
      <c r="Y516" s="466"/>
      <c r="Z516" s="465"/>
      <c r="AA516" s="465"/>
      <c r="AB516" s="465"/>
      <c r="AC516" s="465"/>
      <c r="AD516" s="466">
        <f ca="1">Table2[[#This Row],[End Date]]+2-TODAY()</f>
        <v>143</v>
      </c>
      <c r="AE516" s="465">
        <f>IF(ISBLANK(Table2[[#This Row],[Received by]]),1,0)</f>
        <v>1</v>
      </c>
      <c r="AF516" s="465">
        <f ca="1">IF(Table2[[#This Row],[Start Date]]&gt;TODAY(),1,)</f>
        <v>1</v>
      </c>
      <c r="AG516" s="465">
        <f>IF(ISBLANK(Table2[[#This Row],[Primary Instructor]]),0,1)</f>
        <v>1</v>
      </c>
      <c r="AH516" s="465">
        <f>IF(ISBLANK(Table2[[#This Row],[Instructor 2]]),0,1)</f>
        <v>0</v>
      </c>
      <c r="AI516" s="465">
        <f>Table2[[#This Row],[Course Length (Hours)]]/(SUM(Table2[[#This Row],[1]:[2]]))</f>
        <v>24</v>
      </c>
      <c r="AJ516" s="465">
        <v>41</v>
      </c>
      <c r="AK516" s="467">
        <v>4</v>
      </c>
    </row>
    <row r="517" spans="1:37" s="408" customFormat="1" x14ac:dyDescent="0.25">
      <c r="A517" s="462"/>
      <c r="B517" s="426" t="s">
        <v>58</v>
      </c>
      <c r="C517" s="463" t="str">
        <f>VLOOKUP(Table2[[#This Row],[Course Title]],'TSD-Data'!$A$1:$E$56,2,FALSE)</f>
        <v xml:space="preserve">A-493-0075 </v>
      </c>
      <c r="D517" s="463" t="str">
        <f>VLOOKUP(Table2[[#This Row],[Course Title]],'TSD-Data'!$A$1:$E$56,3,FALSE)</f>
        <v>714U</v>
      </c>
      <c r="E517" s="448" t="s">
        <v>198</v>
      </c>
      <c r="F517" s="428">
        <v>45916</v>
      </c>
      <c r="G517" s="428">
        <v>45919</v>
      </c>
      <c r="H517" s="464">
        <v>0.33333333333333331</v>
      </c>
      <c r="I517" s="469"/>
      <c r="J517" s="469"/>
      <c r="K517" s="469"/>
      <c r="L517" s="469"/>
      <c r="M517" s="469"/>
      <c r="N517" s="469"/>
      <c r="O517" s="462" t="s">
        <v>314</v>
      </c>
      <c r="P517" s="462"/>
      <c r="Q517" s="365"/>
      <c r="R517" s="465">
        <f>VLOOKUP(Table2[[#This Row],[Course Title]],'TSD-Data'!$A$1:$E$56,4,FALSE)</f>
        <v>30</v>
      </c>
      <c r="S517" s="465">
        <f>VLOOKUP(Table2[[#This Row],[Course Title]],'TSD-Data'!$A$1:$F$53,6,FALSE)</f>
        <v>32</v>
      </c>
      <c r="T517" s="465">
        <f>VLOOKUP(Table2[[#This Row],[Course Title]],'TSD-Data'!$A$1:$E$56,5,FALSE)</f>
        <v>4</v>
      </c>
      <c r="U517" s="465">
        <v>61</v>
      </c>
      <c r="V517" s="465">
        <f>Table2[[#This Row],[Quotas]]-Table2[[#This Row],[Open Quotas]]</f>
        <v>1</v>
      </c>
      <c r="W517" s="465"/>
      <c r="X517" s="465"/>
      <c r="Y517" s="466"/>
      <c r="Z517" s="465"/>
      <c r="AA517" s="465"/>
      <c r="AB517" s="465"/>
      <c r="AC517" s="465"/>
      <c r="AD517" s="466">
        <f ca="1">Table2[[#This Row],[End Date]]+2-TODAY()</f>
        <v>144</v>
      </c>
      <c r="AE517" s="465">
        <f>IF(ISBLANK(Table2[[#This Row],[Received by]]),1,0)</f>
        <v>1</v>
      </c>
      <c r="AF517" s="465">
        <f ca="1">IF(Table2[[#This Row],[Start Date]]&gt;TODAY(),1,)</f>
        <v>1</v>
      </c>
      <c r="AG517" s="465">
        <f>IF(ISBLANK(Table2[[#This Row],[Primary Instructor]]),0,1)</f>
        <v>1</v>
      </c>
      <c r="AH517" s="465">
        <f>IF(ISBLANK(Table2[[#This Row],[Instructor 2]]),0,1)</f>
        <v>0</v>
      </c>
      <c r="AI517" s="465">
        <f>Table2[[#This Row],[Course Length (Hours)]]/(SUM(Table2[[#This Row],[1]:[2]]))</f>
        <v>32</v>
      </c>
      <c r="AJ517" s="465">
        <v>29</v>
      </c>
      <c r="AK517" s="467">
        <v>4</v>
      </c>
    </row>
    <row r="518" spans="1:37" s="408" customFormat="1" x14ac:dyDescent="0.25">
      <c r="A518" s="462"/>
      <c r="B518" s="426" t="s">
        <v>50</v>
      </c>
      <c r="C518" s="463" t="str">
        <f>VLOOKUP(Table2[[#This Row],[Course Title]],'TSD-Data'!$A$1:$E$56,2,FALSE)</f>
        <v>A-493-0331</v>
      </c>
      <c r="D518" s="463" t="str">
        <f>VLOOKUP(Table2[[#This Row],[Course Title]],'TSD-Data'!$A$1:$E$56,3,FALSE)</f>
        <v>10UG</v>
      </c>
      <c r="E518" s="426" t="s">
        <v>86</v>
      </c>
      <c r="F518" s="428">
        <v>45916</v>
      </c>
      <c r="G518" s="428">
        <v>45918</v>
      </c>
      <c r="H518" s="428"/>
      <c r="I518" s="469">
        <v>0.5</v>
      </c>
      <c r="J518" s="469">
        <v>0.375</v>
      </c>
      <c r="K518" s="469">
        <v>0.79166666666666663</v>
      </c>
      <c r="L518" s="469">
        <v>0.75</v>
      </c>
      <c r="M518" s="469">
        <v>0.25</v>
      </c>
      <c r="N518" s="469">
        <v>4.1666666666666664E-2</v>
      </c>
      <c r="O518" s="462" t="s">
        <v>318</v>
      </c>
      <c r="P518" s="462"/>
      <c r="Q518" s="365"/>
      <c r="R518" s="465">
        <f>VLOOKUP(Table2[[#This Row],[Course Title]],'TSD-Data'!$A$1:$E$56,4,FALSE)</f>
        <v>45</v>
      </c>
      <c r="S518" s="465">
        <f>VLOOKUP(Table2[[#This Row],[Course Title]],'TSD-Data'!$A$1:$F$53,6,FALSE)</f>
        <v>24</v>
      </c>
      <c r="T518" s="465">
        <f>VLOOKUP(Table2[[#This Row],[Course Title]],'TSD-Data'!$A$1:$E$56,5,FALSE)</f>
        <v>3</v>
      </c>
      <c r="U518" s="465">
        <v>805</v>
      </c>
      <c r="V518" s="465">
        <f>Table2[[#This Row],[Quotas]]-Table2[[#This Row],[Open Quotas]]</f>
        <v>2</v>
      </c>
      <c r="W518" s="465">
        <v>0</v>
      </c>
      <c r="X518" s="465"/>
      <c r="Y518" s="466"/>
      <c r="Z518" s="465"/>
      <c r="AA518" s="465"/>
      <c r="AB518" s="465"/>
      <c r="AC518" s="465"/>
      <c r="AD518" s="466">
        <f ca="1">Table2[[#This Row],[End Date]]+2-TODAY()</f>
        <v>143</v>
      </c>
      <c r="AE518" s="465">
        <f>IF(ISBLANK(Table2[[#This Row],[Received by]]),1,0)</f>
        <v>1</v>
      </c>
      <c r="AF518" s="465">
        <f ca="1">IF(Table2[[#This Row],[Start Date]]&gt;TODAY(),1,)</f>
        <v>1</v>
      </c>
      <c r="AG518" s="465">
        <f>IF(ISBLANK(Table2[[#This Row],[Primary Instructor]]),0,1)</f>
        <v>1</v>
      </c>
      <c r="AH518" s="465">
        <f>IF(ISBLANK(Table2[[#This Row],[Instructor 2]]),0,1)</f>
        <v>0</v>
      </c>
      <c r="AI518" s="465">
        <f>Table2[[#This Row],[Course Length (Hours)]]/(SUM(Table2[[#This Row],[1]:[2]]))</f>
        <v>24</v>
      </c>
      <c r="AJ518" s="465">
        <v>43</v>
      </c>
      <c r="AK518" s="467">
        <v>4</v>
      </c>
    </row>
    <row r="519" spans="1:37" s="408" customFormat="1" x14ac:dyDescent="0.25">
      <c r="A519" s="462"/>
      <c r="B519" s="426" t="s">
        <v>28</v>
      </c>
      <c r="C519" s="463" t="str">
        <f>VLOOKUP(Table2[[#This Row],[Course Title]],'TSD-Data'!$A$1:$E$56,2,FALSE)</f>
        <v>A-493-0013</v>
      </c>
      <c r="D519" s="463">
        <f>VLOOKUP(Table2[[#This Row],[Course Title]],'TSD-Data'!$A$1:$E$56,3,FALSE)</f>
        <v>3683</v>
      </c>
      <c r="E519" s="426" t="s">
        <v>219</v>
      </c>
      <c r="F519" s="428">
        <v>45917</v>
      </c>
      <c r="G519" s="428">
        <v>45919</v>
      </c>
      <c r="H519" s="464">
        <v>0.33333333333333331</v>
      </c>
      <c r="I519" s="469"/>
      <c r="J519" s="469"/>
      <c r="K519" s="469"/>
      <c r="L519" s="469"/>
      <c r="M519" s="469"/>
      <c r="N519" s="469"/>
      <c r="O519" s="462" t="s">
        <v>283</v>
      </c>
      <c r="P519" s="462"/>
      <c r="Q519" s="365"/>
      <c r="R519" s="465">
        <f>VLOOKUP(Table2[[#This Row],[Course Title]],'TSD-Data'!$A$1:$E$56,4,FALSE)</f>
        <v>40</v>
      </c>
      <c r="S519" s="465">
        <f>VLOOKUP(Table2[[#This Row],[Course Title]],'TSD-Data'!$A$1:$F$53,6,FALSE)</f>
        <v>24</v>
      </c>
      <c r="T519" s="465">
        <f>VLOOKUP(Table2[[#This Row],[Course Title]],'TSD-Data'!$A$1:$E$56,5,FALSE)</f>
        <v>3</v>
      </c>
      <c r="U519" s="465">
        <v>5</v>
      </c>
      <c r="V519" s="465">
        <f ca="1">Table2[[#This Row],[Quotas]]-Table2[[#This Row],[Open Quotas]]</f>
        <v>0</v>
      </c>
      <c r="W519" s="465"/>
      <c r="X519" s="465"/>
      <c r="Y519" s="466"/>
      <c r="Z519" s="465"/>
      <c r="AA519" s="465"/>
      <c r="AB519" s="463"/>
      <c r="AC519" s="465"/>
      <c r="AD519" s="466">
        <f ca="1">Table2[[#This Row],[End Date]]+2-TODAY()</f>
        <v>144</v>
      </c>
      <c r="AE519" s="465">
        <f>IF(ISBLANK(Table2[[#This Row],[Received by]]),1,0)</f>
        <v>1</v>
      </c>
      <c r="AF519" s="465">
        <f ca="1">IF(Table2[[#This Row],[Start Date]]&gt;TODAY(),1,)</f>
        <v>1</v>
      </c>
      <c r="AG519" s="465">
        <f>IF(ISBLANK(Table2[[#This Row],[Primary Instructor]]),0,1)</f>
        <v>1</v>
      </c>
      <c r="AH519" s="465">
        <f>IF(ISBLANK(Table2[[#This Row],[Instructor 2]]),0,1)</f>
        <v>0</v>
      </c>
      <c r="AI519" s="465">
        <f>Table2[[#This Row],[Course Length (Hours)]]/(SUM(Table2[[#This Row],[1]:[2]]))</f>
        <v>24</v>
      </c>
      <c r="AJ519" s="465">
        <f ca="1">Table2[[#This Row],[Quotas]]-Table2[[#This Row],[Registered]]</f>
        <v>40</v>
      </c>
      <c r="AK519" s="467">
        <v>4</v>
      </c>
    </row>
    <row r="520" spans="1:37" s="408" customFormat="1" x14ac:dyDescent="0.25">
      <c r="A520" s="462"/>
      <c r="B520" s="426" t="s">
        <v>49</v>
      </c>
      <c r="C520" s="463" t="str">
        <f>VLOOKUP(Table2[[#This Row],[Course Title]],'TSD-Data'!$A$1:$E$56,2,FALSE)</f>
        <v>A-493-0092</v>
      </c>
      <c r="D520" s="463">
        <f>VLOOKUP(Table2[[#This Row],[Course Title]],'TSD-Data'!$A$1:$E$56,3,FALSE)</f>
        <v>5891</v>
      </c>
      <c r="E520" s="426" t="s">
        <v>218</v>
      </c>
      <c r="F520" s="428">
        <v>45917</v>
      </c>
      <c r="G520" s="428">
        <v>45919</v>
      </c>
      <c r="H520" s="464">
        <v>0.33333333333333331</v>
      </c>
      <c r="I520" s="469"/>
      <c r="J520" s="469"/>
      <c r="K520" s="469"/>
      <c r="L520" s="469"/>
      <c r="M520" s="469"/>
      <c r="N520" s="469"/>
      <c r="O520" s="462" t="s">
        <v>315</v>
      </c>
      <c r="P520" s="462"/>
      <c r="Q520" s="365" t="s">
        <v>288</v>
      </c>
      <c r="R520" s="465">
        <f>VLOOKUP(Table2[[#This Row],[Course Title]],'TSD-Data'!$A$1:$E$56,4,FALSE)</f>
        <v>25</v>
      </c>
      <c r="S520" s="465">
        <f>VLOOKUP(Table2[[#This Row],[Course Title]],'TSD-Data'!$A$1:$F$53,6,FALSE)</f>
        <v>24</v>
      </c>
      <c r="T520" s="465">
        <f>VLOOKUP(Table2[[#This Row],[Course Title]],'TSD-Data'!$A$1:$E$56,5,FALSE)</f>
        <v>3</v>
      </c>
      <c r="U520" s="465">
        <v>26</v>
      </c>
      <c r="V520" s="465">
        <f>Table2[[#This Row],[Quotas]]-Table2[[#This Row],[Open Quotas]]</f>
        <v>0</v>
      </c>
      <c r="W520" s="465"/>
      <c r="X520" s="465"/>
      <c r="Y520" s="466"/>
      <c r="Z520" s="465"/>
      <c r="AA520" s="465"/>
      <c r="AB520" s="465"/>
      <c r="AC520" s="465"/>
      <c r="AD520" s="466">
        <f ca="1">Table2[[#This Row],[End Date]]+2-TODAY()</f>
        <v>144</v>
      </c>
      <c r="AE520" s="465">
        <f>IF(ISBLANK(Table2[[#This Row],[Received by]]),1,0)</f>
        <v>1</v>
      </c>
      <c r="AF520" s="465">
        <f ca="1">IF(Table2[[#This Row],[Start Date]]&gt;TODAY(),1,)</f>
        <v>1</v>
      </c>
      <c r="AG520" s="465">
        <f>IF(ISBLANK(Table2[[#This Row],[Primary Instructor]]),0,1)</f>
        <v>1</v>
      </c>
      <c r="AH520" s="465">
        <f>IF(ISBLANK(Table2[[#This Row],[Instructor 2]]),0,1)</f>
        <v>0</v>
      </c>
      <c r="AI520" s="465">
        <f>Table2[[#This Row],[Course Length (Hours)]]/(SUM(Table2[[#This Row],[1]:[2]]))</f>
        <v>24</v>
      </c>
      <c r="AJ520" s="465">
        <v>25</v>
      </c>
      <c r="AK520" s="467">
        <v>4</v>
      </c>
    </row>
    <row r="521" spans="1:37" s="408" customFormat="1" x14ac:dyDescent="0.25">
      <c r="A521" s="462"/>
      <c r="B521" s="426" t="s">
        <v>37</v>
      </c>
      <c r="C521" s="463" t="str">
        <f>VLOOKUP(Table2[[#This Row],[Course Title]],'TSD-Data'!$A$1:$E$56,2,FALSE)</f>
        <v>A-493-0665</v>
      </c>
      <c r="D521" s="463" t="str">
        <f>VLOOKUP(Table2[[#This Row],[Course Title]],'TSD-Data'!$A$1:$E$56,3,FALSE)</f>
        <v>10KW</v>
      </c>
      <c r="E521" s="426" t="s">
        <v>86</v>
      </c>
      <c r="F521" s="428">
        <v>45921</v>
      </c>
      <c r="G521" s="428">
        <v>45923</v>
      </c>
      <c r="H521" s="428"/>
      <c r="I521" s="469">
        <v>0.79166666666666663</v>
      </c>
      <c r="J521" s="469">
        <v>0.66666666666666663</v>
      </c>
      <c r="K521" s="469">
        <v>8.3333333333333329E-2</v>
      </c>
      <c r="L521" s="469">
        <v>0</v>
      </c>
      <c r="M521" s="469">
        <v>0.54166666666666663</v>
      </c>
      <c r="N521" s="469">
        <v>0.33333333333333331</v>
      </c>
      <c r="O521" s="462" t="s">
        <v>286</v>
      </c>
      <c r="P521" s="462"/>
      <c r="Q521" s="365"/>
      <c r="R521" s="465">
        <f>VLOOKUP(Table2[[#This Row],[Course Title]],'TSD-Data'!$A$1:$E$56,4,FALSE)</f>
        <v>45</v>
      </c>
      <c r="S521" s="465">
        <f>VLOOKUP(Table2[[#This Row],[Course Title]],'TSD-Data'!$A$1:$F$53,6,FALSE)</f>
        <v>24</v>
      </c>
      <c r="T521" s="465">
        <f>VLOOKUP(Table2[[#This Row],[Course Title]],'TSD-Data'!$A$1:$E$56,5,FALSE)</f>
        <v>3</v>
      </c>
      <c r="U521" s="465">
        <v>39</v>
      </c>
      <c r="V521" s="465">
        <f>Table2[[#This Row],[Quotas]]-Table2[[#This Row],[Open Quotas]]</f>
        <v>1</v>
      </c>
      <c r="W521" s="465"/>
      <c r="X521" s="465"/>
      <c r="Y521" s="466"/>
      <c r="Z521" s="465"/>
      <c r="AA521" s="465"/>
      <c r="AB521" s="463"/>
      <c r="AC521" s="465"/>
      <c r="AD521" s="466">
        <f ca="1">Table2[[#This Row],[End Date]]+2-TODAY()</f>
        <v>148</v>
      </c>
      <c r="AE521" s="465">
        <f>IF(ISBLANK(Table2[[#This Row],[Received by]]),1,0)</f>
        <v>1</v>
      </c>
      <c r="AF521" s="465">
        <f ca="1">IF(Table2[[#This Row],[Start Date]]&gt;TODAY(),1,)</f>
        <v>1</v>
      </c>
      <c r="AG521" s="465">
        <f>IF(ISBLANK(Table2[[#This Row],[Primary Instructor]]),0,1)</f>
        <v>1</v>
      </c>
      <c r="AH521" s="465"/>
      <c r="AI521" s="465">
        <f>Table2[[#This Row],[Course Length (Hours)]]/(SUM(Table2[[#This Row],[1]:[2]]))</f>
        <v>24</v>
      </c>
      <c r="AJ521" s="465">
        <v>44</v>
      </c>
      <c r="AK521" s="467">
        <v>4</v>
      </c>
    </row>
    <row r="522" spans="1:37" s="408" customFormat="1" x14ac:dyDescent="0.25">
      <c r="A522" s="426"/>
      <c r="B522" s="426" t="s">
        <v>55</v>
      </c>
      <c r="C522" s="463" t="str">
        <f>VLOOKUP(Table2[[#This Row],[Course Title]],'TSD-Data'!$A$1:$E$56,2,FALSE)</f>
        <v>A-493-0103</v>
      </c>
      <c r="D522" s="463" t="s">
        <v>105</v>
      </c>
      <c r="E522" s="426" t="s">
        <v>193</v>
      </c>
      <c r="F522" s="428">
        <v>45922</v>
      </c>
      <c r="G522" s="428">
        <v>45926</v>
      </c>
      <c r="H522" s="464">
        <v>0.33333333333333331</v>
      </c>
      <c r="I522" s="464"/>
      <c r="J522" s="428"/>
      <c r="K522" s="428"/>
      <c r="L522" s="428"/>
      <c r="M522" s="428"/>
      <c r="N522" s="428"/>
      <c r="O522" s="462" t="s">
        <v>314</v>
      </c>
      <c r="P522" s="462"/>
      <c r="Q522" s="429"/>
      <c r="R522" s="465">
        <f>VLOOKUP(Table2[[#This Row],[Course Title]],'TSD-Data'!$A$1:$E$56,4,FALSE)</f>
        <v>25</v>
      </c>
      <c r="S522" s="465">
        <f>VLOOKUP(Table2[[#This Row],[Course Title]],'TSD-Data'!$A$1:$F$53,6,FALSE)</f>
        <v>40</v>
      </c>
      <c r="T522" s="470"/>
      <c r="U522" s="465">
        <v>12</v>
      </c>
      <c r="V522" s="465">
        <f>Table2[[#This Row],[Quotas]]-Table2[[#This Row],[Open Quotas]]</f>
        <v>4</v>
      </c>
      <c r="W522" s="465"/>
      <c r="X522" s="466"/>
      <c r="Y522" s="466"/>
      <c r="Z522" s="465"/>
      <c r="AA522" s="465"/>
      <c r="AB522" s="465"/>
      <c r="AC522" s="465"/>
      <c r="AD522" s="466">
        <f ca="1">Table2[[#This Row],[End Date]]+2-TODAY()</f>
        <v>151</v>
      </c>
      <c r="AE522" s="465">
        <f>IF(ISBLANK(Table2[[#This Row],[Received by]]),1,0)</f>
        <v>1</v>
      </c>
      <c r="AF522" s="465">
        <f ca="1">IF(Table2[[#This Row],[Start Date]]&gt;TODAY(),1,)</f>
        <v>1</v>
      </c>
      <c r="AG522" s="465">
        <f>IF(ISBLANK(Table2[[#This Row],[Primary Instructor]]),0,1)</f>
        <v>1</v>
      </c>
      <c r="AH522" s="465">
        <f>IF(ISBLANK(Table2[[#This Row],[Instructor 2]]),0,1)</f>
        <v>0</v>
      </c>
      <c r="AI522" s="465">
        <f>Table2[[#This Row],[Course Length (Hours)]]/(SUM(Table2[[#This Row],[1]:[2]]))</f>
        <v>40</v>
      </c>
      <c r="AJ522" s="465">
        <v>21</v>
      </c>
      <c r="AK522" s="467"/>
    </row>
    <row r="523" spans="1:37" s="408" customFormat="1" x14ac:dyDescent="0.25">
      <c r="A523" s="462" t="s">
        <v>462</v>
      </c>
      <c r="B523" s="426" t="s">
        <v>17</v>
      </c>
      <c r="C523" s="463" t="str">
        <f>VLOOKUP(Table2[[#This Row],[Course Title]],'TSD-Data'!$A$1:$E$56,2,FALSE)</f>
        <v>A-493-0012</v>
      </c>
      <c r="D523" s="463">
        <f>VLOOKUP(Table2[[#This Row],[Course Title]],'TSD-Data'!$A$1:$E$56,3,FALSE)</f>
        <v>3682</v>
      </c>
      <c r="E523" s="426" t="s">
        <v>190</v>
      </c>
      <c r="F523" s="428">
        <v>45922</v>
      </c>
      <c r="G523" s="428">
        <v>45926</v>
      </c>
      <c r="H523" s="464">
        <v>0.33333333333333331</v>
      </c>
      <c r="I523" s="468"/>
      <c r="J523" s="428"/>
      <c r="K523" s="428"/>
      <c r="L523" s="428"/>
      <c r="M523" s="428"/>
      <c r="N523" s="428"/>
      <c r="O523" s="462" t="s">
        <v>283</v>
      </c>
      <c r="P523" s="462"/>
      <c r="Q523" s="365"/>
      <c r="R523" s="465">
        <f>VLOOKUP(Table2[[#This Row],[Course Title]],'TSD-Data'!$A$1:$E$56,4,FALSE)</f>
        <v>40</v>
      </c>
      <c r="S523" s="465">
        <f>VLOOKUP(Table2[[#This Row],[Course Title]],'TSD-Data'!$A$1:$F$53,6,FALSE)</f>
        <v>40</v>
      </c>
      <c r="T523" s="465">
        <f>VLOOKUP(Table2[[#This Row],[Course Title]],'TSD-Data'!$A$1:$E$56,5,FALSE)</f>
        <v>5</v>
      </c>
      <c r="U523" s="465">
        <v>35</v>
      </c>
      <c r="V523" s="465">
        <f ca="1">Table2[[#This Row],[Quotas]]-Table2[[#This Row],[Open Quotas]]</f>
        <v>0</v>
      </c>
      <c r="W523" s="465"/>
      <c r="X523" s="465"/>
      <c r="Y523" s="466"/>
      <c r="Z523" s="465"/>
      <c r="AA523" s="465"/>
      <c r="AB523" s="463"/>
      <c r="AC523" s="465"/>
      <c r="AD523" s="466">
        <f ca="1">Table2[[#This Row],[End Date]]+2-TODAY()</f>
        <v>151</v>
      </c>
      <c r="AE523" s="465">
        <f>IF(ISBLANK(Table2[[#This Row],[Received by]]),1,0)</f>
        <v>1</v>
      </c>
      <c r="AF523" s="465">
        <f ca="1">IF(Table2[[#This Row],[Start Date]]&gt;TODAY(),1,)</f>
        <v>1</v>
      </c>
      <c r="AG523" s="465">
        <f>IF(ISBLANK(Table2[[#This Row],[Primary Instructor]]),0,1)</f>
        <v>1</v>
      </c>
      <c r="AH523" s="465">
        <f>IF(ISBLANK(Table2[[#This Row],[Instructor 2]]),0,1)</f>
        <v>0</v>
      </c>
      <c r="AI523" s="465">
        <f>Table2[[#This Row],[Course Length (Hours)]]/(SUM(Table2[[#This Row],[1]:[2]]))</f>
        <v>40</v>
      </c>
      <c r="AJ523" s="465">
        <f ca="1">Table2[[#This Row],[Quotas]]-Table2[[#This Row],[Registered]]</f>
        <v>40</v>
      </c>
      <c r="AK523" s="467">
        <v>4</v>
      </c>
    </row>
    <row r="524" spans="1:37" s="408" customFormat="1" x14ac:dyDescent="0.25">
      <c r="A524" s="462"/>
      <c r="B524" s="426" t="s">
        <v>38</v>
      </c>
      <c r="C524" s="463" t="str">
        <f>VLOOKUP(Table2[[#This Row],[Course Title]],'TSD-Data'!$A$1:$E$56,2,FALSE)</f>
        <v>A-493-0061</v>
      </c>
      <c r="D524" s="463" t="str">
        <f>VLOOKUP(Table2[[#This Row],[Course Title]],'TSD-Data'!$A$1:$E$56,3,FALSE)</f>
        <v>288E</v>
      </c>
      <c r="E524" s="426" t="s">
        <v>86</v>
      </c>
      <c r="F524" s="428">
        <v>45922</v>
      </c>
      <c r="G524" s="428">
        <v>45925</v>
      </c>
      <c r="H524" s="464"/>
      <c r="I524" s="468">
        <v>0.33333333333333331</v>
      </c>
      <c r="J524" s="464">
        <v>0.20833333333333334</v>
      </c>
      <c r="K524" s="464">
        <v>0.625</v>
      </c>
      <c r="L524" s="464">
        <v>0.54166666666666663</v>
      </c>
      <c r="M524" s="464">
        <v>8.3333333333333329E-2</v>
      </c>
      <c r="N524" s="464">
        <v>0.875</v>
      </c>
      <c r="O524" s="462" t="s">
        <v>303</v>
      </c>
      <c r="P524" s="462"/>
      <c r="Q524" s="365"/>
      <c r="R524" s="466">
        <f>VLOOKUP(Table2[[#This Row],[Course Title]],'TSD-Data'!$A$1:$E$56,4,FALSE)</f>
        <v>45</v>
      </c>
      <c r="S524" s="465">
        <f>VLOOKUP(Table2[[#This Row],[Course Title]],'TSD-Data'!$A$1:$F$53,6,FALSE)</f>
        <v>30</v>
      </c>
      <c r="T524" s="465">
        <f>VLOOKUP(Table2[[#This Row],[Course Title]],'TSD-Data'!$A$1:$E$56,5,FALSE)</f>
        <v>4</v>
      </c>
      <c r="U524" s="465">
        <v>369</v>
      </c>
      <c r="V524" s="465">
        <f>Table2[[#This Row],[Quotas]]-Table2[[#This Row],[Open Quotas]]</f>
        <v>0</v>
      </c>
      <c r="W524" s="465"/>
      <c r="X524" s="466"/>
      <c r="Y524" s="466"/>
      <c r="Z524" s="465"/>
      <c r="AA524" s="465"/>
      <c r="AB524" s="463"/>
      <c r="AC524" s="465"/>
      <c r="AD524" s="466">
        <f ca="1">Table2[[#This Row],[End Date]]+2-TODAY()</f>
        <v>150</v>
      </c>
      <c r="AE524" s="465">
        <f>IF(ISBLANK(Table2[[#This Row],[Received by]]),1,0)</f>
        <v>1</v>
      </c>
      <c r="AF524" s="465">
        <f ca="1">IF(Table2[[#This Row],[Start Date]]&gt;TODAY(),1,)</f>
        <v>1</v>
      </c>
      <c r="AG524" s="465">
        <f>IF(ISBLANK(Table2[[#This Row],[Primary Instructor]]),0,1)</f>
        <v>1</v>
      </c>
      <c r="AH524" s="465">
        <f>IF(ISBLANK(Table2[[#This Row],[Instructor 2]]),0,1)</f>
        <v>0</v>
      </c>
      <c r="AI524" s="465">
        <f>Table2[[#This Row],[Course Length (Hours)]]/(SUM(Table2[[#This Row],[1]:[2]]))</f>
        <v>30</v>
      </c>
      <c r="AJ524" s="465">
        <v>45</v>
      </c>
      <c r="AK524" s="467">
        <v>4</v>
      </c>
    </row>
    <row r="525" spans="1:37" s="408" customFormat="1" x14ac:dyDescent="0.25">
      <c r="A525" s="426"/>
      <c r="B525" s="426" t="s">
        <v>51</v>
      </c>
      <c r="C525" s="463" t="str">
        <f>VLOOKUP(Table2[[#This Row],[Course Title]],'TSD-Data'!$A$1:$E$56,2,FALSE)</f>
        <v>A-493-0335</v>
      </c>
      <c r="D525" s="463" t="str">
        <f>VLOOKUP(Table2[[#This Row],[Course Title]],'TSD-Data'!$A$1:$E$56,3,FALSE)</f>
        <v>09ND</v>
      </c>
      <c r="E525" s="426" t="s">
        <v>86</v>
      </c>
      <c r="F525" s="428">
        <v>45922</v>
      </c>
      <c r="G525" s="428">
        <v>45925</v>
      </c>
      <c r="H525" s="464"/>
      <c r="I525" s="469">
        <v>0.5</v>
      </c>
      <c r="J525" s="469">
        <v>0.375</v>
      </c>
      <c r="K525" s="469">
        <v>0.79166666666666663</v>
      </c>
      <c r="L525" s="469">
        <v>0.75</v>
      </c>
      <c r="M525" s="469">
        <v>0.25</v>
      </c>
      <c r="N525" s="469">
        <v>4.1666666666666664E-2</v>
      </c>
      <c r="O525" s="462" t="s">
        <v>318</v>
      </c>
      <c r="P525" s="462"/>
      <c r="Q525" s="365"/>
      <c r="R525" s="465">
        <f>VLOOKUP(Table2[[#This Row],[Course Title]],'TSD-Data'!$A$1:$E$56,4,FALSE)</f>
        <v>45</v>
      </c>
      <c r="S525" s="465">
        <f>VLOOKUP(Table2[[#This Row],[Course Title]],'TSD-Data'!$A$1:$F$53,6,FALSE)</f>
        <v>32</v>
      </c>
      <c r="T525" s="465">
        <f>VLOOKUP(Table2[[#This Row],[Course Title]],'TSD-Data'!$A$1:$E$56,5,FALSE)</f>
        <v>4</v>
      </c>
      <c r="U525" s="465">
        <v>400</v>
      </c>
      <c r="V525" s="465">
        <f>Table2[[#This Row],[Quotas]]-Table2[[#This Row],[Open Quotas]]</f>
        <v>1</v>
      </c>
      <c r="W525" s="465"/>
      <c r="X525" s="465"/>
      <c r="Y525" s="466"/>
      <c r="Z525" s="465"/>
      <c r="AA525" s="465"/>
      <c r="AB525" s="465"/>
      <c r="AC525" s="465"/>
      <c r="AD525" s="466">
        <f ca="1">Table2[[#This Row],[End Date]]+2-TODAY()</f>
        <v>150</v>
      </c>
      <c r="AE525" s="465">
        <f>IF(ISBLANK(Table2[[#This Row],[Received by]]),1,0)</f>
        <v>1</v>
      </c>
      <c r="AF525" s="465">
        <f ca="1">IF(Table2[[#This Row],[Start Date]]&gt;TODAY(),1,)</f>
        <v>1</v>
      </c>
      <c r="AG525" s="465">
        <f>IF(ISBLANK(Table2[[#This Row],[Primary Instructor]]),0,1)</f>
        <v>1</v>
      </c>
      <c r="AH525" s="465">
        <f>IF(ISBLANK(Table2[[#This Row],[Instructor 2]]),0,1)</f>
        <v>0</v>
      </c>
      <c r="AI525" s="465">
        <f>Table2[[#This Row],[Course Length (Hours)]]/(SUM(Table2[[#This Row],[1]:[2]]))</f>
        <v>32</v>
      </c>
      <c r="AJ525" s="465">
        <v>44</v>
      </c>
      <c r="AK525" s="467">
        <v>4</v>
      </c>
    </row>
    <row r="526" spans="1:37" s="408" customFormat="1" x14ac:dyDescent="0.25">
      <c r="A526" s="437"/>
      <c r="B526" s="433" t="s">
        <v>61</v>
      </c>
      <c r="C526" s="438" t="str">
        <f>VLOOKUP(Table2[[#This Row],[Course Title]],'TSD-Data'!$A$1:$E$56,2,FALSE)</f>
        <v>A-493-0078</v>
      </c>
      <c r="D526" s="463">
        <f>VLOOKUP(Table2[[#This Row],[Course Title]],'TSD-Data'!$A$1:$E$56,3,FALSE)</f>
        <v>1228</v>
      </c>
      <c r="E526" s="433" t="s">
        <v>198</v>
      </c>
      <c r="F526" s="418">
        <v>45922</v>
      </c>
      <c r="G526" s="418">
        <v>45925</v>
      </c>
      <c r="H526" s="464">
        <v>0.33333333333333331</v>
      </c>
      <c r="I526" s="417"/>
      <c r="J526" s="417"/>
      <c r="K526" s="417"/>
      <c r="L526" s="417"/>
      <c r="M526" s="417"/>
      <c r="N526" s="417"/>
      <c r="O526" s="437" t="s">
        <v>304</v>
      </c>
      <c r="P526" s="437"/>
      <c r="Q526" s="365"/>
      <c r="R526" s="439">
        <f>VLOOKUP(Table2[[#This Row],[Course Title]],'TSD-Data'!$A$1:$E$56,4,FALSE)</f>
        <v>45</v>
      </c>
      <c r="S526" s="439">
        <f>VLOOKUP(Table2[[#This Row],[Course Title]],'TSD-Data'!$A$1:$F$53,6,FALSE)</f>
        <v>32</v>
      </c>
      <c r="T526" s="465">
        <f>VLOOKUP(Table2[[#This Row],[Course Title]],'TSD-Data'!$A$1:$E$56,5,FALSE)</f>
        <v>4</v>
      </c>
      <c r="U526" s="439">
        <v>446</v>
      </c>
      <c r="V526" s="439">
        <f>Table2[[#This Row],[Quotas]]-Table2[[#This Row],[Open Quotas]]</f>
        <v>0</v>
      </c>
      <c r="W526" s="439"/>
      <c r="X526" s="439"/>
      <c r="Y526" s="440"/>
      <c r="Z526" s="439"/>
      <c r="AA526" s="439"/>
      <c r="AB526" s="439"/>
      <c r="AC526" s="465"/>
      <c r="AD526" s="440">
        <f ca="1">Table2[[#This Row],[End Date]]+2-TODAY()</f>
        <v>150</v>
      </c>
      <c r="AE526" s="439">
        <f>IF(ISBLANK(Table2[[#This Row],[Received by]]),1,0)</f>
        <v>1</v>
      </c>
      <c r="AF526" s="439">
        <f ca="1">IF(Table2[[#This Row],[Start Date]]&gt;TODAY(),1,)</f>
        <v>1</v>
      </c>
      <c r="AG526" s="439">
        <f>IF(ISBLANK(Table2[[#This Row],[Primary Instructor]]),0,1)</f>
        <v>1</v>
      </c>
      <c r="AH526" s="439">
        <f>IF(ISBLANK(Table2[[#This Row],[Instructor 2]]),0,1)</f>
        <v>0</v>
      </c>
      <c r="AI526" s="439">
        <f>Table2[[#This Row],[Course Length (Hours)]]/(SUM(Table2[[#This Row],[1]:[2]]))</f>
        <v>32</v>
      </c>
      <c r="AJ526" s="439">
        <v>45</v>
      </c>
      <c r="AK526" s="441">
        <v>4</v>
      </c>
    </row>
    <row r="527" spans="1:37" s="408" customFormat="1" x14ac:dyDescent="0.25">
      <c r="A527" s="437"/>
      <c r="B527" s="433" t="s">
        <v>52</v>
      </c>
      <c r="C527" s="438" t="str">
        <f>VLOOKUP(Table2[[#This Row],[Course Title]],'TSD-Data'!$A$1:$E$56,2,FALSE)</f>
        <v>A-493-0085</v>
      </c>
      <c r="D527" s="463">
        <f>VLOOKUP(Table2[[#This Row],[Course Title]],'TSD-Data'!$A$1:$E$56,3,FALSE)</f>
        <v>3555</v>
      </c>
      <c r="E527" s="433" t="s">
        <v>86</v>
      </c>
      <c r="F527" s="418">
        <v>45922</v>
      </c>
      <c r="G527" s="418">
        <v>45925</v>
      </c>
      <c r="H527" s="418"/>
      <c r="I527" s="443">
        <v>1900.7916666666667</v>
      </c>
      <c r="J527" s="443">
        <v>0.66666666666666663</v>
      </c>
      <c r="K527" s="443">
        <v>8.3333333333333329E-2</v>
      </c>
      <c r="L527" s="443">
        <v>0</v>
      </c>
      <c r="M527" s="443">
        <v>0.54166666666666663</v>
      </c>
      <c r="N527" s="443">
        <v>0.33333333333333331</v>
      </c>
      <c r="O527" s="437" t="s">
        <v>277</v>
      </c>
      <c r="P527" s="437"/>
      <c r="Q527" s="365"/>
      <c r="R527" s="439">
        <f>VLOOKUP(Table2[[#This Row],[Course Title]],'TSD-Data'!$A$1:$E$56,4,FALSE)</f>
        <v>45</v>
      </c>
      <c r="S527" s="439">
        <f>VLOOKUP(Table2[[#This Row],[Course Title]],'TSD-Data'!$A$1:$F$53,6,FALSE)</f>
        <v>32</v>
      </c>
      <c r="T527" s="465">
        <f>VLOOKUP(Table2[[#This Row],[Course Title]],'TSD-Data'!$A$1:$E$56,5,FALSE)</f>
        <v>4</v>
      </c>
      <c r="U527" s="439">
        <v>120</v>
      </c>
      <c r="V527" s="439">
        <f>Table2[[#This Row],[Quotas]]-Table2[[#This Row],[Open Quotas]]</f>
        <v>2</v>
      </c>
      <c r="W527" s="439"/>
      <c r="X527" s="439"/>
      <c r="Y527" s="440"/>
      <c r="Z527" s="439"/>
      <c r="AA527" s="439"/>
      <c r="AB527" s="439"/>
      <c r="AC527" s="465"/>
      <c r="AD527" s="440">
        <f ca="1">Table2[[#This Row],[End Date]]+2-TODAY()</f>
        <v>150</v>
      </c>
      <c r="AE527" s="439">
        <f>IF(ISBLANK(Table2[[#This Row],[Received by]]),1,0)</f>
        <v>1</v>
      </c>
      <c r="AF527" s="439">
        <f ca="1">IF(Table2[[#This Row],[Start Date]]&gt;TODAY(),1,)</f>
        <v>1</v>
      </c>
      <c r="AG527" s="439">
        <f>IF(ISBLANK(Table2[[#This Row],[Primary Instructor]]),0,1)</f>
        <v>1</v>
      </c>
      <c r="AH527" s="439">
        <f>IF(ISBLANK(Table2[[#This Row],[Instructor 2]]),0,1)</f>
        <v>0</v>
      </c>
      <c r="AI527" s="439">
        <f>Table2[[#This Row],[Course Length (Hours)]]/(SUM(Table2[[#This Row],[1]:[2]]))</f>
        <v>32</v>
      </c>
      <c r="AJ527" s="439">
        <v>43</v>
      </c>
      <c r="AK527" s="441">
        <v>4</v>
      </c>
    </row>
    <row r="528" spans="1:37" s="408" customFormat="1" x14ac:dyDescent="0.25">
      <c r="A528" s="437"/>
      <c r="B528" s="433" t="s">
        <v>53</v>
      </c>
      <c r="C528" s="438" t="str">
        <f>VLOOKUP(Table2[[#This Row],[Course Title]],'TSD-Data'!$A$1:$E$56,2,FALSE)</f>
        <v>A-493-0072</v>
      </c>
      <c r="D528" s="463" t="str">
        <f>VLOOKUP(Table2[[#This Row],[Course Title]],'TSD-Data'!$A$1:$E$56,3,FALSE)</f>
        <v>713U</v>
      </c>
      <c r="E528" s="433" t="s">
        <v>218</v>
      </c>
      <c r="F528" s="418">
        <v>45922</v>
      </c>
      <c r="G528" s="418">
        <v>45926</v>
      </c>
      <c r="H528" s="417">
        <v>0.33333333333333331</v>
      </c>
      <c r="I528" s="443"/>
      <c r="J528" s="443"/>
      <c r="K528" s="443"/>
      <c r="L528" s="443"/>
      <c r="M528" s="443"/>
      <c r="N528" s="443"/>
      <c r="O528" s="437" t="s">
        <v>315</v>
      </c>
      <c r="P528" s="437"/>
      <c r="Q528" s="431" t="s">
        <v>288</v>
      </c>
      <c r="R528" s="439">
        <f>VLOOKUP(Table2[[#This Row],[Course Title]],'TSD-Data'!$A$1:$E$56,4,FALSE)</f>
        <v>30</v>
      </c>
      <c r="S528" s="439">
        <f>VLOOKUP(Table2[[#This Row],[Course Title]],'TSD-Data'!$A$1:$F$53,6,FALSE)</f>
        <v>40</v>
      </c>
      <c r="T528" s="465">
        <f>VLOOKUP(Table2[[#This Row],[Course Title]],'TSD-Data'!$A$1:$E$56,5,FALSE)</f>
        <v>5</v>
      </c>
      <c r="U528" s="439">
        <v>72</v>
      </c>
      <c r="V528" s="439">
        <f>Table2[[#This Row],[Quotas]]-Table2[[#This Row],[Open Quotas]]</f>
        <v>12</v>
      </c>
      <c r="W528" s="439"/>
      <c r="X528" s="439"/>
      <c r="Y528" s="440"/>
      <c r="Z528" s="439"/>
      <c r="AA528" s="439"/>
      <c r="AB528" s="439"/>
      <c r="AC528" s="465"/>
      <c r="AD528" s="440">
        <f ca="1">Table2[[#This Row],[End Date]]+2-TODAY()</f>
        <v>151</v>
      </c>
      <c r="AE528" s="439">
        <f>IF(ISBLANK(Table2[[#This Row],[Received by]]),1,0)</f>
        <v>1</v>
      </c>
      <c r="AF528" s="439">
        <f ca="1">IF(Table2[[#This Row],[Start Date]]&gt;TODAY(),1,)</f>
        <v>1</v>
      </c>
      <c r="AG528" s="439">
        <f>IF(ISBLANK(Table2[[#This Row],[Primary Instructor]]),0,1)</f>
        <v>1</v>
      </c>
      <c r="AH528" s="439">
        <f>IF(ISBLANK(Table2[[#This Row],[Instructor 2]]),0,1)</f>
        <v>0</v>
      </c>
      <c r="AI528" s="439">
        <f>Table2[[#This Row],[Course Length (Hours)]]/(SUM(Table2[[#This Row],[1]:[2]]))</f>
        <v>40</v>
      </c>
      <c r="AJ528" s="439">
        <v>18</v>
      </c>
      <c r="AK528" s="441">
        <v>4</v>
      </c>
    </row>
    <row r="529" spans="1:37" s="408" customFormat="1" x14ac:dyDescent="0.25">
      <c r="A529" s="437" t="s">
        <v>542</v>
      </c>
      <c r="B529" s="433" t="s">
        <v>36</v>
      </c>
      <c r="C529" s="438" t="str">
        <f>VLOOKUP(Table2[[#This Row],[Course Title]],'TSD-Data'!$A$1:$E$56,2,FALSE)</f>
        <v>A-493-2017</v>
      </c>
      <c r="D529" s="463" t="str">
        <f>VLOOKUP(Table2[[#This Row],[Course Title]],'TSD-Data'!$A$1:$E$56,3,FALSE)</f>
        <v>12x3</v>
      </c>
      <c r="E529" s="433" t="s">
        <v>165</v>
      </c>
      <c r="F529" s="418">
        <v>45922</v>
      </c>
      <c r="G529" s="418">
        <v>45926</v>
      </c>
      <c r="H529" s="417">
        <v>0.33333333333333331</v>
      </c>
      <c r="I529" s="417"/>
      <c r="J529" s="418"/>
      <c r="K529" s="418"/>
      <c r="L529" s="418"/>
      <c r="M529" s="418"/>
      <c r="N529" s="418"/>
      <c r="O529" s="437" t="s">
        <v>280</v>
      </c>
      <c r="P529" s="437"/>
      <c r="Q529" s="365"/>
      <c r="R529" s="440">
        <f>VLOOKUP(Table2[[#This Row],[Course Title]],'TSD-Data'!$A$1:$E$56,4,FALSE)</f>
        <v>25</v>
      </c>
      <c r="S529" s="439">
        <f>VLOOKUP(Table2[[#This Row],[Course Title]],'TSD-Data'!$A$1:$F$53,6,FALSE)</f>
        <v>40</v>
      </c>
      <c r="T529" s="470">
        <f>VLOOKUP(Table2[[#This Row],[Course Title]],'TSD-Data'!$A$1:$E$56,5,FALSE)</f>
        <v>5</v>
      </c>
      <c r="U529" s="444">
        <v>0</v>
      </c>
      <c r="V529" s="439">
        <f>Table2[[#This Row],[Quotas]]-Table2[[#This Row],[Open Quotas]]</f>
        <v>8</v>
      </c>
      <c r="W529" s="444">
        <v>0</v>
      </c>
      <c r="X529" s="440"/>
      <c r="Y529" s="440"/>
      <c r="Z529" s="439"/>
      <c r="AA529" s="439"/>
      <c r="AB529" s="439"/>
      <c r="AC529" s="465"/>
      <c r="AD529" s="440">
        <f ca="1">Table2[[#This Row],[End Date]]+2-TODAY()</f>
        <v>151</v>
      </c>
      <c r="AE529" s="439">
        <f>IF(ISBLANK(Table2[[#This Row],[Received by]]),1,0)</f>
        <v>1</v>
      </c>
      <c r="AF529" s="439">
        <f ca="1">IF(Table2[[#This Row],[Start Date]]&gt;TODAY(),1,)</f>
        <v>1</v>
      </c>
      <c r="AG529" s="439">
        <f>IF(ISBLANK(Table2[[#This Row],[Primary Instructor]]),0,1)</f>
        <v>1</v>
      </c>
      <c r="AH529" s="439">
        <f>IF(ISBLANK(Table2[[#This Row],[Instructor 2]]),0,1)</f>
        <v>0</v>
      </c>
      <c r="AI529" s="439">
        <f>Table2[[#This Row],[Course Length (Hours)]]/(SUM(Table2[[#This Row],[1]:[2]]))</f>
        <v>40</v>
      </c>
      <c r="AJ529" s="439">
        <v>17</v>
      </c>
      <c r="AK529" s="439">
        <v>3</v>
      </c>
    </row>
    <row r="530" spans="1:37" s="408" customFormat="1" x14ac:dyDescent="0.25">
      <c r="A530" s="437" t="s">
        <v>484</v>
      </c>
      <c r="B530" s="433" t="s">
        <v>31</v>
      </c>
      <c r="C530" s="438" t="str">
        <f>VLOOKUP(Table2[[#This Row],[Course Title]],'TSD-Data'!$A$1:$E$56,2,FALSE)</f>
        <v>A-493-0083</v>
      </c>
      <c r="D530" s="463" t="str">
        <f>VLOOKUP(Table2[[#This Row],[Course Title]],'TSD-Data'!$A$1:$E$56,3,FALSE)</f>
        <v>339E</v>
      </c>
      <c r="E530" s="433" t="s">
        <v>86</v>
      </c>
      <c r="F530" s="418">
        <v>45923</v>
      </c>
      <c r="G530" s="418">
        <v>45923</v>
      </c>
      <c r="H530" s="417"/>
      <c r="I530" s="417">
        <v>8.3333333333333329E-2</v>
      </c>
      <c r="J530" s="443">
        <v>0.95833333333333337</v>
      </c>
      <c r="K530" s="443">
        <v>0.375</v>
      </c>
      <c r="L530" s="443">
        <v>0.33333333333333331</v>
      </c>
      <c r="M530" s="443">
        <v>0.83333333333333337</v>
      </c>
      <c r="N530" s="443">
        <v>0.625</v>
      </c>
      <c r="O530" s="437" t="s">
        <v>280</v>
      </c>
      <c r="P530" s="437"/>
      <c r="Q530" s="365"/>
      <c r="R530" s="439">
        <f>VLOOKUP(Table2[[#This Row],[Course Title]],'TSD-Data'!$A$1:$E$56,4,FALSE)</f>
        <v>30</v>
      </c>
      <c r="S530" s="439">
        <f>VLOOKUP(Table2[[#This Row],[Course Title]],'TSD-Data'!$A$1:$F$53,6,FALSE)</f>
        <v>8</v>
      </c>
      <c r="T530" s="465">
        <f>VLOOKUP(Table2[[#This Row],[Course Title]],'TSD-Data'!$A$1:$E$56,5,FALSE)</f>
        <v>1</v>
      </c>
      <c r="U530" s="439">
        <v>0</v>
      </c>
      <c r="V530" s="439">
        <f>Table2[[#This Row],[Quotas]]-Table2[[#This Row],[Open Quotas]]</f>
        <v>0</v>
      </c>
      <c r="W530" s="439"/>
      <c r="X530" s="439"/>
      <c r="Y530" s="440"/>
      <c r="Z530" s="439"/>
      <c r="AA530" s="439"/>
      <c r="AB530" s="438"/>
      <c r="AC530" s="465"/>
      <c r="AD530" s="440">
        <f ca="1">Table2[[#This Row],[End Date]]+2-TODAY()</f>
        <v>148</v>
      </c>
      <c r="AE530" s="439">
        <f>IF(ISBLANK(Table2[[#This Row],[Received by]]),1,0)</f>
        <v>1</v>
      </c>
      <c r="AF530" s="439">
        <f ca="1">IF(Table2[[#This Row],[Start Date]]&gt;TODAY(),1,)</f>
        <v>1</v>
      </c>
      <c r="AG530" s="439">
        <f>IF(ISBLANK(Table2[[#This Row],[Primary Instructor]]),0,1)</f>
        <v>1</v>
      </c>
      <c r="AH530" s="439">
        <f>IF(ISBLANK(Table2[[#This Row],[Instructor 2]]),0,1)</f>
        <v>0</v>
      </c>
      <c r="AI530" s="439">
        <f>Table2[[#This Row],[Course Length (Hours)]]/(SUM(Table2[[#This Row],[1]:[2]]))</f>
        <v>8</v>
      </c>
      <c r="AJ530" s="439">
        <v>30</v>
      </c>
      <c r="AK530" s="441">
        <v>4</v>
      </c>
    </row>
    <row r="531" spans="1:37" s="408" customFormat="1" x14ac:dyDescent="0.25">
      <c r="A531" s="425" t="s">
        <v>477</v>
      </c>
      <c r="B531" s="433" t="s">
        <v>28</v>
      </c>
      <c r="C531" s="427" t="str">
        <f>VLOOKUP(Table2[[#This Row],[Course Title]],'TSD-Data'!$A$1:$E$56,2,FALSE)</f>
        <v>A-493-0013</v>
      </c>
      <c r="D531" s="463">
        <f>VLOOKUP(Table2[[#This Row],[Course Title]],'TSD-Data'!$A$1:$E$56,3,FALSE)</f>
        <v>3683</v>
      </c>
      <c r="E531" s="433" t="s">
        <v>207</v>
      </c>
      <c r="F531" s="418">
        <v>45924</v>
      </c>
      <c r="G531" s="418">
        <v>45926</v>
      </c>
      <c r="H531" s="422">
        <v>0.33333333333333331</v>
      </c>
      <c r="I531" s="423"/>
      <c r="J531" s="420"/>
      <c r="K531" s="420"/>
      <c r="L531" s="420"/>
      <c r="M531" s="420"/>
      <c r="N531" s="420"/>
      <c r="O531" s="429" t="s">
        <v>257</v>
      </c>
      <c r="P531" s="429"/>
      <c r="Q531" s="365"/>
      <c r="R531" s="414">
        <f>VLOOKUP(Table2[[#This Row],[Course Title]],'TSD-Data'!$A$1:$E$56,4,FALSE)</f>
        <v>40</v>
      </c>
      <c r="S531" s="414">
        <f>VLOOKUP(Table2[[#This Row],[Course Title]],'TSD-Data'!$A$1:$F$53,6,FALSE)</f>
        <v>24</v>
      </c>
      <c r="T531" s="465">
        <f>VLOOKUP(Table2[[#This Row],[Course Title]],'TSD-Data'!$A$1:$E$56,5,FALSE)</f>
        <v>3</v>
      </c>
      <c r="U531" s="414">
        <v>0</v>
      </c>
      <c r="V531" s="414">
        <f ca="1">Table2[[#This Row],[Quotas]]-Table2[[#This Row],[Open Quotas]]</f>
        <v>0</v>
      </c>
      <c r="W531" s="414"/>
      <c r="X531" s="414"/>
      <c r="Y531" s="419"/>
      <c r="Z531" s="414"/>
      <c r="AA531" s="414"/>
      <c r="AB531" s="427"/>
      <c r="AC531" s="465"/>
      <c r="AD531" s="419">
        <f ca="1">Table2[[#This Row],[End Date]]+2-TODAY()</f>
        <v>151</v>
      </c>
      <c r="AE531" s="414">
        <f>IF(ISBLANK(Table2[[#This Row],[Received by]]),1,0)</f>
        <v>1</v>
      </c>
      <c r="AF531" s="414">
        <f ca="1">IF(Table2[[#This Row],[Start Date]]&gt;TODAY(),1,)</f>
        <v>1</v>
      </c>
      <c r="AG531" s="414">
        <f>IF(ISBLANK(Table2[[#This Row],[Primary Instructor]]),0,1)</f>
        <v>1</v>
      </c>
      <c r="AH531" s="414">
        <f>IF(ISBLANK(Table2[[#This Row],[Instructor 2]]),0,1)</f>
        <v>0</v>
      </c>
      <c r="AI531" s="414">
        <f>Table2[[#This Row],[Course Length (Hours)]]/(SUM(Table2[[#This Row],[1]:[2]]))</f>
        <v>24</v>
      </c>
      <c r="AJ531" s="414">
        <f ca="1">Table2[[#This Row],[Quotas]]-Table2[[#This Row],[Registered]]</f>
        <v>40</v>
      </c>
      <c r="AK531" s="430">
        <v>4</v>
      </c>
    </row>
    <row r="532" spans="1:37" s="408" customFormat="1" x14ac:dyDescent="0.25">
      <c r="A532" s="437"/>
      <c r="B532" s="433" t="s">
        <v>59</v>
      </c>
      <c r="C532" s="438" t="str">
        <f>VLOOKUP(Table2[[#This Row],[Course Title]],'TSD-Data'!$A$1:$E$56,2,FALSE)</f>
        <v>A-493-0550</v>
      </c>
      <c r="D532" s="463" t="str">
        <f>VLOOKUP(Table2[[#This Row],[Course Title]],'TSD-Data'!$A$1:$E$56,3,FALSE)</f>
        <v>09K5</v>
      </c>
      <c r="E532" s="433" t="s">
        <v>86</v>
      </c>
      <c r="F532" s="452">
        <v>45929</v>
      </c>
      <c r="G532" s="452">
        <v>45932</v>
      </c>
      <c r="H532" s="418"/>
      <c r="I532" s="417">
        <v>0.33333333333333331</v>
      </c>
      <c r="J532" s="417">
        <v>0.20833333333333334</v>
      </c>
      <c r="K532" s="417">
        <v>0.625</v>
      </c>
      <c r="L532" s="417">
        <v>0.54166666666666663</v>
      </c>
      <c r="M532" s="417">
        <v>8.3333333333333329E-2</v>
      </c>
      <c r="N532" s="417">
        <v>0.875</v>
      </c>
      <c r="O532" s="437" t="s">
        <v>330</v>
      </c>
      <c r="P532" s="437"/>
      <c r="Q532" s="365"/>
      <c r="R532" s="439">
        <f>VLOOKUP(Table2[[#This Row],[Course Title]],'TSD-Data'!$A$1:$E$56,4,FALSE)</f>
        <v>45</v>
      </c>
      <c r="S532" s="439">
        <f>VLOOKUP(Table2[[#This Row],[Course Title]],'TSD-Data'!$A$1:$F$53,6,FALSE)</f>
        <v>32</v>
      </c>
      <c r="T532" s="465">
        <f>VLOOKUP(Table2[[#This Row],[Course Title]],'TSD-Data'!$A$1:$E$56,5,FALSE)</f>
        <v>4</v>
      </c>
      <c r="U532" s="439">
        <v>845</v>
      </c>
      <c r="V532" s="439">
        <f>Table2[[#This Row],[Quotas]]-Table2[[#This Row],[Open Quotas]]</f>
        <v>2</v>
      </c>
      <c r="W532" s="439"/>
      <c r="X532" s="439"/>
      <c r="Y532" s="440"/>
      <c r="Z532" s="439"/>
      <c r="AA532" s="439"/>
      <c r="AB532" s="439"/>
      <c r="AC532" s="465"/>
      <c r="AD532" s="440">
        <f ca="1">Table2[[#This Row],[End Date]]+2-TODAY()</f>
        <v>157</v>
      </c>
      <c r="AE532" s="439">
        <f>IF(ISBLANK(Table2[[#This Row],[Received by]]),1,0)</f>
        <v>1</v>
      </c>
      <c r="AF532" s="439">
        <f ca="1">IF(Table2[[#This Row],[Start Date]]&gt;TODAY(),1,)</f>
        <v>1</v>
      </c>
      <c r="AG532" s="439">
        <f>IF(ISBLANK(Table2[[#This Row],[Primary Instructor]]),0,1)</f>
        <v>1</v>
      </c>
      <c r="AH532" s="439">
        <f>IF(ISBLANK(Table2[[#This Row],[Instructor 2]]),0,1)</f>
        <v>0</v>
      </c>
      <c r="AI532" s="439">
        <f>Table2[[#This Row],[Course Length (Hours)]]/(SUM(Table2[[#This Row],[1]:[2]]))</f>
        <v>32</v>
      </c>
      <c r="AJ532" s="439">
        <v>43</v>
      </c>
      <c r="AK532" s="441">
        <v>4</v>
      </c>
    </row>
    <row r="533" spans="1:37" s="408" customFormat="1" x14ac:dyDescent="0.25">
      <c r="A533" s="425"/>
      <c r="B533" s="433" t="s">
        <v>57</v>
      </c>
      <c r="C533" s="427" t="str">
        <f>VLOOKUP(Table2[[#This Row],[Course Title]],'TSD-Data'!$A$1:$E$56,2,FALSE)</f>
        <v>A-493-0099</v>
      </c>
      <c r="D533" s="427" t="str">
        <f>VLOOKUP(Table2[[#This Row],[Course Title]],'TSD-Data'!$A$1:$E$56,3,FALSE)</f>
        <v>12JW</v>
      </c>
      <c r="E533" s="425" t="s">
        <v>86</v>
      </c>
      <c r="F533" s="420">
        <v>45930</v>
      </c>
      <c r="G533" s="420">
        <v>45932</v>
      </c>
      <c r="H533" s="422"/>
      <c r="I533" s="421">
        <v>0.5</v>
      </c>
      <c r="J533" s="421">
        <v>0.375</v>
      </c>
      <c r="K533" s="421">
        <v>0.79166666666666663</v>
      </c>
      <c r="L533" s="421">
        <v>0.75</v>
      </c>
      <c r="M533" s="421">
        <v>0.25</v>
      </c>
      <c r="N533" s="421">
        <v>4.1666666666666664E-2</v>
      </c>
      <c r="O533" s="429" t="s">
        <v>305</v>
      </c>
      <c r="P533" s="429"/>
      <c r="Q533" s="365"/>
      <c r="R533" s="419">
        <f>VLOOKUP(Table2[[#This Row],[Course Title]],'TSD-Data'!$A$1:$E$56,4,FALSE)</f>
        <v>45</v>
      </c>
      <c r="S533" s="414">
        <f>VLOOKUP(Table2[[#This Row],[Course Title]],'TSD-Data'!$A$1:$F$53,6,FALSE)</f>
        <v>24</v>
      </c>
      <c r="T533" s="414">
        <f>VLOOKUP(Table2[[#This Row],[Course Title]],'TSD-Data'!$A$1:$E$56,5,FALSE)</f>
        <v>3</v>
      </c>
      <c r="U533" s="414">
        <v>718</v>
      </c>
      <c r="V533" s="414">
        <f>Table2[[#This Row],[Quotas]]-Table2[[#This Row],[Open Quotas]]</f>
        <v>2</v>
      </c>
      <c r="W533" s="414"/>
      <c r="X533" s="414"/>
      <c r="Y533" s="414"/>
      <c r="Z533" s="414"/>
      <c r="AA533" s="414"/>
      <c r="AB533" s="414"/>
      <c r="AC533" s="414"/>
      <c r="AD533" s="419">
        <f ca="1">Table2[[#This Row],[End Date]]+2-TODAY()</f>
        <v>157</v>
      </c>
      <c r="AE533" s="414">
        <f>IF(ISBLANK(Table2[[#This Row],[Received by]]),1,0)</f>
        <v>1</v>
      </c>
      <c r="AF533" s="414">
        <f ca="1">IF(Table2[[#This Row],[Start Date]]&gt;TODAY(),1,)</f>
        <v>1</v>
      </c>
      <c r="AG533" s="414">
        <f>IF(ISBLANK(Table2[[#This Row],[Primary Instructor]]),0,1)</f>
        <v>1</v>
      </c>
      <c r="AH533" s="414">
        <f>IF(ISBLANK(Table2[[#This Row],[Instructor 2]]),0,1)</f>
        <v>0</v>
      </c>
      <c r="AI533" s="414">
        <f>Table2[[#This Row],[Course Length (Hours)]]/(SUM(Table2[[#This Row],[1]:[2]]))</f>
        <v>24</v>
      </c>
      <c r="AJ533" s="414">
        <v>43</v>
      </c>
      <c r="AK533" s="430">
        <v>4</v>
      </c>
    </row>
    <row r="534" spans="1:37" x14ac:dyDescent="0.25">
      <c r="A534" s="165" t="s">
        <v>62</v>
      </c>
      <c r="B534" s="165">
        <f>SUBTOTAL(103,Table2[Course Title])</f>
        <v>530</v>
      </c>
      <c r="C534" s="165"/>
      <c r="D534" s="165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343"/>
      <c r="P534" s="343"/>
      <c r="Q534" s="343"/>
      <c r="R534" s="165">
        <f>SUBTOTAL(109,Table2[Quotas])</f>
        <v>19090</v>
      </c>
      <c r="S534" s="165">
        <f>SUBTOTAL(109,Table2[Course Length (Hours)])</f>
        <v>12724</v>
      </c>
      <c r="T534" s="165">
        <f>SUBTOTAL(109,Table2[Course Length (Days)])</f>
        <v>1588.5</v>
      </c>
      <c r="U534" s="165"/>
      <c r="V534" s="165">
        <f ca="1">SUBTOTAL(109,Table2[Registered])</f>
        <v>8745</v>
      </c>
      <c r="W534" s="165">
        <f>SUBTOTAL(109,Table2[Waitlisted])</f>
        <v>248</v>
      </c>
      <c r="X534" s="165">
        <f>SUBTOTAL(109,Table2[Graduates])</f>
        <v>5595</v>
      </c>
      <c r="Y534" s="165">
        <f>SUBTOTAL(109,Table2[Fail])</f>
        <v>128</v>
      </c>
      <c r="Z534" s="165">
        <f>SUBTOTAL(109,Table2[No Shows])</f>
        <v>1108</v>
      </c>
      <c r="AA534" s="165">
        <f>SUBTOTAL(109,Table2[Walk-ins])</f>
        <v>225</v>
      </c>
      <c r="AB534" s="165">
        <f>SUBTOTAL(109,Table2[Foreign Grads])</f>
        <v>149</v>
      </c>
      <c r="AC534" s="165"/>
      <c r="AD534" s="2"/>
      <c r="AE534" s="165"/>
      <c r="AF534" s="165"/>
      <c r="AG534" s="165"/>
      <c r="AH534" s="165"/>
      <c r="AI534" s="165"/>
      <c r="AJ534" s="165"/>
      <c r="AK534" s="165">
        <f>SUBTOTAL(109,Table2[QTR])</f>
        <v>1373</v>
      </c>
    </row>
    <row r="536" spans="1:37" x14ac:dyDescent="0.25">
      <c r="A536" s="10"/>
    </row>
    <row r="538" spans="1:37" x14ac:dyDescent="0.25">
      <c r="F538" s="11" t="s">
        <v>547</v>
      </c>
    </row>
  </sheetData>
  <sheetProtection algorithmName="SHA-512" hashValue="+SPCjPTGUqH6TcyEnLN9MbRM7B7nxg8/Gmurfv8f1AtL2YiyfK2bEcSLoNYq5xvmNqe7Ekka5K2AgqOScNXp/g==" saltValue="hkroeX135D4ispEURILKaw==" spinCount="100000" sheet="1" objects="1" scenarios="1" sort="0" autoFilter="0"/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AJ175 C4:D407" name="CIN CDP_1_1"/>
  </protectedRanges>
  <phoneticPr fontId="3" type="noConversion"/>
  <conditionalFormatting sqref="A4 B4:B15 A13 A23:A33 M32:N32 A35:A45 N45 A47:A53 J53:N53 A54:B54 K55:L56 N55:N56 A55:A67 B62:B91 A69 K70:L70 N70 A71:A73 J74:N74 A75 K81:L81 N81 A81:A85 F82:G82 J82:N82 J83:L83 J84:N84 F84:G86 N87 A88:A91 E90 A92:B92 M93 B93:B119 A93:A133 B121 B123 B127 B130 A135:A138 A142:A144 A151 A176 A186 A194 E196:E203 E207:E215 E217:E218 A231 A281 E284:E286 E292:E299 E301:E303 M304:N304 E305:E307 E309:E311 A318 E319:E327 A325 A329">
    <cfRule type="expression" dxfId="585" priority="819">
      <formula>$Y4="Jenne, Richard"</formula>
    </cfRule>
    <cfRule type="expression" dxfId="584" priority="818">
      <formula>$Y4="Benzick, Sue"</formula>
    </cfRule>
    <cfRule type="expression" dxfId="583" priority="820">
      <formula>$Y4="McQueen, Jennifer"</formula>
    </cfRule>
  </conditionalFormatting>
  <conditionalFormatting sqref="A79">
    <cfRule type="expression" dxfId="582" priority="827">
      <formula>$Y79="Benzick, Sue"</formula>
    </cfRule>
    <cfRule type="expression" dxfId="581" priority="829">
      <formula>$Y79="McQueen, Jennifer"</formula>
    </cfRule>
    <cfRule type="expression" dxfId="580" priority="828">
      <formula>$Y79="Jenne, Richard"</formula>
    </cfRule>
  </conditionalFormatting>
  <conditionalFormatting sqref="A166">
    <cfRule type="expression" dxfId="579" priority="643">
      <formula>$Y166="McQueen, Jennifer"</formula>
    </cfRule>
    <cfRule type="expression" dxfId="578" priority="642">
      <formula>$Y166="Jenne, Richard"</formula>
    </cfRule>
    <cfRule type="expression" dxfId="577" priority="641">
      <formula>$Y166="Benzick, Sue"</formula>
    </cfRule>
  </conditionalFormatting>
  <conditionalFormatting sqref="A215">
    <cfRule type="expression" dxfId="576" priority="640">
      <formula>$Y215="McQueen, Jennifer"</formula>
    </cfRule>
    <cfRule type="expression" dxfId="575" priority="639">
      <formula>$Y215="Jenne, Richard"</formula>
    </cfRule>
    <cfRule type="expression" dxfId="574" priority="638">
      <formula>$Y215="Benzick, Sue"</formula>
    </cfRule>
  </conditionalFormatting>
  <conditionalFormatting sqref="A343:A344">
    <cfRule type="expression" dxfId="573" priority="558">
      <formula>$Y343="Jenne, Richard"</formula>
    </cfRule>
    <cfRule type="expression" dxfId="572" priority="559">
      <formula>$Y343="McQueen, Jennifer"</formula>
    </cfRule>
    <cfRule type="expression" dxfId="571" priority="557">
      <formula>$Y343="Benzick, Sue"</formula>
    </cfRule>
  </conditionalFormatting>
  <conditionalFormatting sqref="E4:E17 N7:N8 X16:Y21 E19:E36 Y22 J23:L23 N23 X23:Y31 J24 M24 J25:L25 N25 F30:H30 K30 N30 F31:G31 X32:X33 Y32:Y39 F33 F35:G39 X35:X39 J38 L38 E38:E86 J39:L39 N39 F40:F43 J42:L42 F47 J47:L47 N47 X47:Y86 J67:L67 N67 J68:N68 J69:L69 N69 J71:L71 J78 L78 F82:F83 J88 L88 E88:E89 X88:Y104 J90 L90 N90 E91:E103 Y105 E105:E122 X106:Y131 J107:N107 E130 Y132 X133:Y133 X135:X138 Y135:Y140 Y142:Y147 J143:J144 L143:N144 Y150 J151:N151 X151:Y151 Y152:Y201 J183:J184 L183:N184 A188 J199 L199:N199 Y203:Y235 J208 L208:N208 J219:J220 L219:N220 A235 Y237:Y255 J238 L238 J241:J242 L241:N242 Y258 Y260:Y342 J263 L263:N263 F278:G282 J283 L283:N283 J309 L309:N309 J316:J317 L316:N317 A319 A330 Y347:Y373 J356:J358 L356:N358 J383 L383:N383 J390:J391 L390:N391 J403 L403:N403">
    <cfRule type="expression" dxfId="570" priority="694">
      <formula>$X4="McQueen, Jennifer"</formula>
    </cfRule>
    <cfRule type="expression" dxfId="569" priority="693">
      <formula>$X4="Jenne, Richard"</formula>
    </cfRule>
    <cfRule type="expression" dxfId="568" priority="692">
      <formula>$X4="Benzick, Sue"</formula>
    </cfRule>
  </conditionalFormatting>
  <conditionalFormatting sqref="E18:G18 H202:H212 H214:H216 I218:I227 J227:N227 H255:H262 J255:N262 I255:I283 J264:M264 H282:H290 I284:N288 J295:N295 F296:H296 H309:I310 I313:I318 I320:I328 F355:G373">
    <cfRule type="expression" dxfId="567" priority="886">
      <formula>#REF!="McQueen, Jennifer"</formula>
    </cfRule>
    <cfRule type="expression" dxfId="566" priority="885">
      <formula>#REF!="Jenne, Richard"</formula>
    </cfRule>
    <cfRule type="expression" dxfId="565" priority="884">
      <formula>#REF!="Benzick, Sue"</formula>
    </cfRule>
  </conditionalFormatting>
  <conditionalFormatting sqref="F48 F55:F56 F59">
    <cfRule type="expression" dxfId="564" priority="859">
      <formula>$X49="McQueen, Jennifer"</formula>
    </cfRule>
    <cfRule type="expression" dxfId="563" priority="857">
      <formula>$X49="Benzick, Sue"</formula>
    </cfRule>
    <cfRule type="expression" dxfId="562" priority="858">
      <formula>$X49="Jenne, Richard"</formula>
    </cfRule>
  </conditionalFormatting>
  <conditionalFormatting sqref="F49:F50 F60">
    <cfRule type="expression" dxfId="561" priority="855">
      <formula>$X51="Jenne, Richard"</formula>
    </cfRule>
    <cfRule type="expression" dxfId="560" priority="854">
      <formula>$X51="Benzick, Sue"</formula>
    </cfRule>
    <cfRule type="expression" dxfId="559" priority="856">
      <formula>$X51="McQueen, Jennifer"</formula>
    </cfRule>
  </conditionalFormatting>
  <conditionalFormatting sqref="F58 K72:L72 K89:N89">
    <cfRule type="expression" dxfId="558" priority="850">
      <formula>#REF!="McQueen, Jennifer"</formula>
    </cfRule>
    <cfRule type="expression" dxfId="557" priority="849">
      <formula>#REF!="Jenne, Richard"</formula>
    </cfRule>
    <cfRule type="expression" dxfId="556" priority="848">
      <formula>#REF!="Benzick, Sue"</formula>
    </cfRule>
  </conditionalFormatting>
  <conditionalFormatting sqref="F62">
    <cfRule type="expression" dxfId="555" priority="845">
      <formula>$X66="Benzick, Sue"</formula>
    </cfRule>
    <cfRule type="expression" dxfId="554" priority="847">
      <formula>$X66="McQueen, Jennifer"</formula>
    </cfRule>
    <cfRule type="expression" dxfId="553" priority="846">
      <formula>$X66="Jenne, Richard"</formula>
    </cfRule>
  </conditionalFormatting>
  <conditionalFormatting sqref="F88:F89 I105:I106 F105:G111">
    <cfRule type="expression" dxfId="552" priority="905">
      <formula>#REF!="Benzick, Sue"</formula>
    </cfRule>
    <cfRule type="expression" dxfId="551" priority="906">
      <formula>#REF!="Jenne, Richard"</formula>
    </cfRule>
    <cfRule type="expression" dxfId="550" priority="907">
      <formula>#REF!="McQueen, Jennifer"</formula>
    </cfRule>
  </conditionalFormatting>
  <conditionalFormatting sqref="F90 F92">
    <cfRule type="expression" dxfId="549" priority="890">
      <formula>$Y91="Benzick, Sue"</formula>
    </cfRule>
    <cfRule type="expression" dxfId="548" priority="891">
      <formula>$Y91="Jenne, Richard"</formula>
    </cfRule>
    <cfRule type="expression" dxfId="547" priority="892">
      <formula>$Y91="McQueen, Jennifer"</formula>
    </cfRule>
  </conditionalFormatting>
  <conditionalFormatting sqref="F91">
    <cfRule type="expression" dxfId="546" priority="911">
      <formula>#REF!="Benzick, Sue"</formula>
    </cfRule>
    <cfRule type="expression" dxfId="545" priority="913">
      <formula>#REF!="McQueen, Jennifer"</formula>
    </cfRule>
    <cfRule type="expression" dxfId="544" priority="912">
      <formula>#REF!="Jenne, Richard"</formula>
    </cfRule>
  </conditionalFormatting>
  <conditionalFormatting sqref="F4:G17 F58:G58">
    <cfRule type="expression" dxfId="543" priority="853">
      <formula>#REF!="McQueen, Jennifer"</formula>
    </cfRule>
    <cfRule type="expression" dxfId="542" priority="852">
      <formula>#REF!="Jenne, Richard"</formula>
    </cfRule>
    <cfRule type="expression" dxfId="541" priority="851">
      <formula>#REF!="Benzick, Sue"</formula>
    </cfRule>
  </conditionalFormatting>
  <conditionalFormatting sqref="F19:G27">
    <cfRule type="expression" dxfId="540" priority="876">
      <formula>#REF!="Jenne, Richard"</formula>
    </cfRule>
    <cfRule type="expression" dxfId="539" priority="875">
      <formula>#REF!="Benzick, Sue"</formula>
    </cfRule>
    <cfRule type="expression" dxfId="538" priority="877">
      <formula>#REF!="McQueen, Jennifer"</formula>
    </cfRule>
  </conditionalFormatting>
  <conditionalFormatting sqref="F29:G29 H38 F45:F46 H56:H57 H66 H73 H83 H97:H98 H112 H127:H129 H139 H149 H167 H198 H201 H213 H217 H227 H236 H240 H263 H275 H281 H293:H294 H302:H303 H306 H326 H333 H337">
    <cfRule type="expression" dxfId="537" priority="895">
      <formula>$T29="McQueen, Jennifer"</formula>
    </cfRule>
    <cfRule type="expression" dxfId="536" priority="893">
      <formula>$T29="Benzick, Sue"</formula>
    </cfRule>
    <cfRule type="expression" dxfId="535" priority="894">
      <formula>$T29="Jenne, Richard"</formula>
    </cfRule>
  </conditionalFormatting>
  <conditionalFormatting sqref="F97:G103 E104:G104 I153 H170:H171 H176:I176 H178:I178">
    <cfRule type="expression" dxfId="534" priority="870">
      <formula>#REF!="Jenne, Richard"</formula>
    </cfRule>
    <cfRule type="expression" dxfId="533" priority="869">
      <formula>#REF!="Benzick, Sue"</formula>
    </cfRule>
    <cfRule type="expression" dxfId="532" priority="871">
      <formula>#REF!="McQueen, Jennifer"</formula>
    </cfRule>
  </conditionalFormatting>
  <conditionalFormatting sqref="F113:G118 H140:H148 I210:N215 H218:H220 I291:N294">
    <cfRule type="expression" dxfId="531" priority="910">
      <formula>#REF!="McQueen, Jennifer"</formula>
    </cfRule>
    <cfRule type="expression" dxfId="530" priority="909">
      <formula>#REF!="Jenne, Richard"</formula>
    </cfRule>
    <cfRule type="expression" dxfId="529" priority="908">
      <formula>#REF!="Benzick, Sue"</formula>
    </cfRule>
  </conditionalFormatting>
  <conditionalFormatting sqref="F204:G206 H307:I307 H308 H311">
    <cfRule type="expression" dxfId="528" priority="866">
      <formula>#REF!="Benzick, Sue"</formula>
    </cfRule>
    <cfRule type="expression" dxfId="527" priority="868">
      <formula>#REF!="McQueen, Jennifer"</formula>
    </cfRule>
    <cfRule type="expression" dxfId="526" priority="867">
      <formula>#REF!="Jenne, Richard"</formula>
    </cfRule>
  </conditionalFormatting>
  <conditionalFormatting sqref="F207:G208 F292:H292 F293:G293 F295:G295">
    <cfRule type="expression" dxfId="525" priority="865">
      <formula>$P207="McQueen, Jennifer"</formula>
    </cfRule>
    <cfRule type="expression" dxfId="524" priority="864">
      <formula>$P207="Jenne, Richard"</formula>
    </cfRule>
    <cfRule type="expression" dxfId="523" priority="863">
      <formula>$P207="Benzick, Sue"</formula>
    </cfRule>
  </conditionalFormatting>
  <conditionalFormatting sqref="F294:G294 F297:G298 F299:H301 F302:G303 F304:I304 F305:H305 F306:G308 H312:I312 H314:H317">
    <cfRule type="expression" dxfId="522" priority="862">
      <formula>#REF!="McQueen, Jennifer"</formula>
    </cfRule>
    <cfRule type="expression" dxfId="521" priority="860">
      <formula>#REF!="Benzick, Sue"</formula>
    </cfRule>
    <cfRule type="expression" dxfId="520" priority="861">
      <formula>#REF!="Jenne, Richard"</formula>
    </cfRule>
  </conditionalFormatting>
  <conditionalFormatting sqref="F343:G344">
    <cfRule type="expression" dxfId="519" priority="553">
      <formula>$T343="McQueen, Jennifer"</formula>
    </cfRule>
    <cfRule type="expression" dxfId="518" priority="552">
      <formula>$T343="Jenne, Richard"</formula>
    </cfRule>
    <cfRule type="expression" dxfId="517" priority="551">
      <formula>$T343="Benzick, Sue"</formula>
    </cfRule>
  </conditionalFormatting>
  <conditionalFormatting sqref="G79 I79:N79">
    <cfRule type="expression" dxfId="516" priority="825">
      <formula>#REF!="Jenne, Richard"</formula>
    </cfRule>
    <cfRule type="expression" dxfId="515" priority="824">
      <formula>#REF!="Benzick, Sue"</formula>
    </cfRule>
    <cfRule type="expression" dxfId="514" priority="826">
      <formula>#REF!="McQueen, Jennifer"</formula>
    </cfRule>
  </conditionalFormatting>
  <conditionalFormatting sqref="G267:G273 F274:G277">
    <cfRule type="expression" dxfId="513" priority="789">
      <formula>#REF!="Jenne, Richard"</formula>
    </cfRule>
    <cfRule type="expression" dxfId="512" priority="788">
      <formula>#REF!="Benzick, Sue"</formula>
    </cfRule>
    <cfRule type="expression" dxfId="511" priority="790">
      <formula>#REF!="McQueen, Jennifer"</formula>
    </cfRule>
  </conditionalFormatting>
  <conditionalFormatting sqref="H4:H29 H131:H138">
    <cfRule type="expression" dxfId="510" priority="815">
      <formula>#REF!="Benzick, Sue"</formula>
    </cfRule>
    <cfRule type="expression" dxfId="509" priority="817">
      <formula>#REF!="McQueen, Jennifer"</formula>
    </cfRule>
  </conditionalFormatting>
  <conditionalFormatting sqref="H4:H29">
    <cfRule type="expression" dxfId="508" priority="524">
      <formula>#REF!="Jenne, Richard"</formula>
    </cfRule>
  </conditionalFormatting>
  <conditionalFormatting sqref="H31:H32">
    <cfRule type="expression" dxfId="507" priority="523">
      <formula>#REF!="McQueen, Jennifer"</formula>
    </cfRule>
    <cfRule type="expression" dxfId="506" priority="522">
      <formula>#REF!="Jenne, Richard"</formula>
    </cfRule>
    <cfRule type="expression" dxfId="505" priority="521">
      <formula>#REF!="Benzick, Sue"</formula>
    </cfRule>
  </conditionalFormatting>
  <conditionalFormatting sqref="H34:H37">
    <cfRule type="expression" dxfId="504" priority="516">
      <formula>#REF!="Jenne, Richard"</formula>
    </cfRule>
    <cfRule type="expression" dxfId="503" priority="517">
      <formula>#REF!="McQueen, Jennifer"</formula>
    </cfRule>
    <cfRule type="expression" dxfId="502" priority="515">
      <formula>#REF!="Benzick, Sue"</formula>
    </cfRule>
  </conditionalFormatting>
  <conditionalFormatting sqref="H39">
    <cfRule type="expression" dxfId="501" priority="514">
      <formula>#REF!="McQueen, Jennifer"</formula>
    </cfRule>
    <cfRule type="expression" dxfId="500" priority="513">
      <formula>#REF!="Jenne, Richard"</formula>
    </cfRule>
    <cfRule type="expression" dxfId="499" priority="512">
      <formula>#REF!="Benzick, Sue"</formula>
    </cfRule>
  </conditionalFormatting>
  <conditionalFormatting sqref="H47">
    <cfRule type="expression" dxfId="498" priority="510">
      <formula>#REF!="Jenne, Richard"</formula>
    </cfRule>
    <cfRule type="expression" dxfId="497" priority="511">
      <formula>#REF!="McQueen, Jennifer"</formula>
    </cfRule>
    <cfRule type="expression" dxfId="496" priority="509">
      <formula>#REF!="Benzick, Sue"</formula>
    </cfRule>
  </conditionalFormatting>
  <conditionalFormatting sqref="H49:H50">
    <cfRule type="expression" dxfId="495" priority="505">
      <formula>#REF!="McQueen, Jennifer"</formula>
    </cfRule>
    <cfRule type="expression" dxfId="494" priority="504">
      <formula>#REF!="Jenne, Richard"</formula>
    </cfRule>
    <cfRule type="expression" dxfId="493" priority="503">
      <formula>#REF!="Benzick, Sue"</formula>
    </cfRule>
  </conditionalFormatting>
  <conditionalFormatting sqref="H52:H55">
    <cfRule type="expression" dxfId="492" priority="499">
      <formula>#REF!="McQueen, Jennifer"</formula>
    </cfRule>
    <cfRule type="expression" dxfId="491" priority="498">
      <formula>#REF!="Jenne, Richard"</formula>
    </cfRule>
    <cfRule type="expression" dxfId="490" priority="497">
      <formula>#REF!="Benzick, Sue"</formula>
    </cfRule>
  </conditionalFormatting>
  <conditionalFormatting sqref="H58:H59">
    <cfRule type="expression" dxfId="489" priority="496">
      <formula>#REF!="McQueen, Jennifer"</formula>
    </cfRule>
    <cfRule type="expression" dxfId="488" priority="495">
      <formula>#REF!="Jenne, Richard"</formula>
    </cfRule>
    <cfRule type="expression" dxfId="487" priority="494">
      <formula>#REF!="Benzick, Sue"</formula>
    </cfRule>
  </conditionalFormatting>
  <conditionalFormatting sqref="H61:H65">
    <cfRule type="expression" dxfId="486" priority="488">
      <formula>#REF!="Benzick, Sue"</formula>
    </cfRule>
    <cfRule type="expression" dxfId="485" priority="489">
      <formula>#REF!="Jenne, Richard"</formula>
    </cfRule>
    <cfRule type="expression" dxfId="484" priority="490">
      <formula>#REF!="McQueen, Jennifer"</formula>
    </cfRule>
  </conditionalFormatting>
  <conditionalFormatting sqref="H68:H72">
    <cfRule type="expression" dxfId="483" priority="484">
      <formula>#REF!="McQueen, Jennifer"</formula>
    </cfRule>
    <cfRule type="expression" dxfId="482" priority="482">
      <formula>#REF!="Benzick, Sue"</formula>
    </cfRule>
    <cfRule type="expression" dxfId="481" priority="483">
      <formula>#REF!="Jenne, Richard"</formula>
    </cfRule>
  </conditionalFormatting>
  <conditionalFormatting sqref="H74">
    <cfRule type="expression" dxfId="480" priority="479">
      <formula>#REF!="Benzick, Sue"</formula>
    </cfRule>
    <cfRule type="expression" dxfId="479" priority="480">
      <formula>#REF!="Jenne, Richard"</formula>
    </cfRule>
    <cfRule type="expression" dxfId="478" priority="481">
      <formula>#REF!="McQueen, Jennifer"</formula>
    </cfRule>
  </conditionalFormatting>
  <conditionalFormatting sqref="H79:H82">
    <cfRule type="expression" dxfId="477" priority="470">
      <formula>#REF!="Benzick, Sue"</formula>
    </cfRule>
    <cfRule type="expression" dxfId="476" priority="471">
      <formula>#REF!="Jenne, Richard"</formula>
    </cfRule>
    <cfRule type="expression" dxfId="475" priority="472">
      <formula>#REF!="McQueen, Jennifer"</formula>
    </cfRule>
  </conditionalFormatting>
  <conditionalFormatting sqref="H84:H96">
    <cfRule type="expression" dxfId="474" priority="452">
      <formula>#REF!="Benzick, Sue"</formula>
    </cfRule>
    <cfRule type="expression" dxfId="473" priority="453">
      <formula>#REF!="Jenne, Richard"</formula>
    </cfRule>
    <cfRule type="expression" dxfId="472" priority="454">
      <formula>#REF!="McQueen, Jennifer"</formula>
    </cfRule>
  </conditionalFormatting>
  <conditionalFormatting sqref="H99:H111">
    <cfRule type="expression" dxfId="471" priority="434">
      <formula>#REF!="Benzick, Sue"</formula>
    </cfRule>
    <cfRule type="expression" dxfId="470" priority="435">
      <formula>#REF!="Jenne, Richard"</formula>
    </cfRule>
    <cfRule type="expression" dxfId="469" priority="436">
      <formula>#REF!="McQueen, Jennifer"</formula>
    </cfRule>
  </conditionalFormatting>
  <conditionalFormatting sqref="H113:H126">
    <cfRule type="expression" dxfId="468" priority="424">
      <formula>#REF!="McQueen, Jennifer"</formula>
    </cfRule>
    <cfRule type="expression" dxfId="467" priority="423">
      <formula>#REF!="Jenne, Richard"</formula>
    </cfRule>
    <cfRule type="expression" dxfId="466" priority="422">
      <formula>#REF!="Benzick, Sue"</formula>
    </cfRule>
  </conditionalFormatting>
  <conditionalFormatting sqref="H131:H138">
    <cfRule type="expression" dxfId="465" priority="816">
      <formula>#REF!="Jenne, Richard"</formula>
    </cfRule>
  </conditionalFormatting>
  <conditionalFormatting sqref="H150:H166">
    <cfRule type="expression" dxfId="464" priority="619">
      <formula>#REF!="McQueen, Jennifer"</formula>
    </cfRule>
    <cfRule type="expression" dxfId="463" priority="617">
      <formula>#REF!="Benzick, Sue"</formula>
    </cfRule>
    <cfRule type="expression" dxfId="462" priority="618">
      <formula>#REF!="Jenne, Richard"</formula>
    </cfRule>
  </conditionalFormatting>
  <conditionalFormatting sqref="H179">
    <cfRule type="expression" dxfId="461" priority="814">
      <formula>$T179="McQueen, Jennifer"</formula>
    </cfRule>
    <cfRule type="expression" dxfId="460" priority="812">
      <formula>$T179="Benzick, Sue"</formula>
    </cfRule>
    <cfRule type="expression" dxfId="459" priority="813">
      <formula>$T179="Jenne, Richard"</formula>
    </cfRule>
  </conditionalFormatting>
  <conditionalFormatting sqref="H183:H194 H196:H197 H199:H200 H230:H235 H237:H239 H241:H248 H264:H274 H276:H280">
    <cfRule type="expression" dxfId="458" priority="805">
      <formula>#REF!="McQueen, Jennifer"</formula>
    </cfRule>
    <cfRule type="expression" dxfId="457" priority="804">
      <formula>#REF!="Jenne, Richard"</formula>
    </cfRule>
    <cfRule type="expression" dxfId="456" priority="803">
      <formula>#REF!="Benzick, Sue"</formula>
    </cfRule>
  </conditionalFormatting>
  <conditionalFormatting sqref="H222:H226">
    <cfRule type="expression" dxfId="455" priority="17">
      <formula>#REF!="Benzick, Sue"</formula>
    </cfRule>
    <cfRule type="expression" dxfId="454" priority="18">
      <formula>#REF!="Jenne, Richard"</formula>
    </cfRule>
    <cfRule type="expression" dxfId="453" priority="19">
      <formula>#REF!="McQueen, Jennifer"</formula>
    </cfRule>
  </conditionalFormatting>
  <conditionalFormatting sqref="H250:H253">
    <cfRule type="expression" dxfId="452" priority="3">
      <formula>#REF!="McQueen, Jennifer"</formula>
    </cfRule>
    <cfRule type="expression" dxfId="451" priority="2">
      <formula>#REF!="Jenne, Richard"</formula>
    </cfRule>
    <cfRule type="expression" dxfId="450" priority="1">
      <formula>#REF!="Benzick, Sue"</formula>
    </cfRule>
  </conditionalFormatting>
  <conditionalFormatting sqref="H368:H370">
    <cfRule type="expression" dxfId="449" priority="605">
      <formula>#REF!="Benzick, Sue"</formula>
    </cfRule>
    <cfRule type="expression" dxfId="448" priority="606">
      <formula>#REF!="Jenne, Richard"</formula>
    </cfRule>
    <cfRule type="expression" dxfId="447" priority="607">
      <formula>#REF!="McQueen, Jennifer"</formula>
    </cfRule>
  </conditionalFormatting>
  <conditionalFormatting sqref="H40:I40 H44:I44 I296:N296 J318:N318 I399">
    <cfRule type="expression" dxfId="446" priority="880">
      <formula>#REF!="McQueen, Jennifer"</formula>
    </cfRule>
    <cfRule type="expression" dxfId="445" priority="879">
      <formula>#REF!="Jenne, Richard"</formula>
    </cfRule>
  </conditionalFormatting>
  <conditionalFormatting sqref="H343:K345 M343:N345">
    <cfRule type="expression" dxfId="444" priority="536">
      <formula>#REF!="Benzick, Sue"</formula>
    </cfRule>
    <cfRule type="expression" dxfId="443" priority="538">
      <formula>#REF!="McQueen, Jennifer"</formula>
    </cfRule>
    <cfRule type="expression" dxfId="442" priority="537">
      <formula>#REF!="Jenne, Richard"</formula>
    </cfRule>
  </conditionalFormatting>
  <conditionalFormatting sqref="H130:N130">
    <cfRule type="expression" dxfId="441" priority="579">
      <formula>#REF!="Jenne, Richard"</formula>
    </cfRule>
    <cfRule type="expression" dxfId="440" priority="578">
      <formula>#REF!="Benzick, Sue"</formula>
    </cfRule>
    <cfRule type="expression" dxfId="439" priority="580">
      <formula>#REF!="McQueen, Jennifer"</formula>
    </cfRule>
  </conditionalFormatting>
  <conditionalFormatting sqref="H195:N195">
    <cfRule type="expression" dxfId="438" priority="577">
      <formula>#REF!="McQueen, Jennifer"</formula>
    </cfRule>
    <cfRule type="expression" dxfId="437" priority="576">
      <formula>#REF!="Jenne, Richard"</formula>
    </cfRule>
    <cfRule type="expression" dxfId="436" priority="575">
      <formula>#REF!="Benzick, Sue"</formula>
    </cfRule>
  </conditionalFormatting>
  <conditionalFormatting sqref="H228:N229">
    <cfRule type="expression" dxfId="435" priority="574">
      <formula>#REF!="McQueen, Jennifer"</formula>
    </cfRule>
    <cfRule type="expression" dxfId="434" priority="573">
      <formula>#REF!="Jenne, Richard"</formula>
    </cfRule>
    <cfRule type="expression" dxfId="433" priority="572">
      <formula>#REF!="Benzick, Sue"</formula>
    </cfRule>
  </conditionalFormatting>
  <conditionalFormatting sqref="H249:N249">
    <cfRule type="expression" dxfId="432" priority="570">
      <formula>#REF!="Jenne, Richard"</formula>
    </cfRule>
    <cfRule type="expression" dxfId="431" priority="569">
      <formula>#REF!="Benzick, Sue"</formula>
    </cfRule>
    <cfRule type="expression" dxfId="430" priority="571">
      <formula>#REF!="McQueen, Jennifer"</formula>
    </cfRule>
  </conditionalFormatting>
  <conditionalFormatting sqref="H254:N254">
    <cfRule type="expression" dxfId="429" priority="567">
      <formula>#REF!="Jenne, Richard"</formula>
    </cfRule>
    <cfRule type="expression" dxfId="428" priority="568">
      <formula>#REF!="McQueen, Jennifer"</formula>
    </cfRule>
    <cfRule type="expression" dxfId="427" priority="566">
      <formula>#REF!="Benzick, Sue"</formula>
    </cfRule>
  </conditionalFormatting>
  <conditionalFormatting sqref="H336:N336">
    <cfRule type="expression" dxfId="426" priority="563">
      <formula>#REF!="Benzick, Sue"</formula>
    </cfRule>
    <cfRule type="expression" dxfId="425" priority="565">
      <formula>#REF!="McQueen, Jennifer"</formula>
    </cfRule>
    <cfRule type="expression" dxfId="424" priority="564">
      <formula>#REF!="Jenne, Richard"</formula>
    </cfRule>
  </conditionalFormatting>
  <conditionalFormatting sqref="H363:N363">
    <cfRule type="expression" dxfId="423" priority="561">
      <formula>#REF!="Jenne, Richard"</formula>
    </cfRule>
    <cfRule type="expression" dxfId="422" priority="560">
      <formula>#REF!="Benzick, Sue"</formula>
    </cfRule>
    <cfRule type="expression" dxfId="421" priority="562">
      <formula>#REF!="McQueen, Jennifer"</formula>
    </cfRule>
  </conditionalFormatting>
  <conditionalFormatting sqref="I4:I13">
    <cfRule type="expression" dxfId="420" priority="418">
      <formula>#REF!="McQueen, Jennifer"</formula>
    </cfRule>
    <cfRule type="expression" dxfId="419" priority="417">
      <formula>#REF!="Jenne, Richard"</formula>
    </cfRule>
    <cfRule type="expression" dxfId="418" priority="416">
      <formula>#REF!="Benzick, Sue"</formula>
    </cfRule>
  </conditionalFormatting>
  <conditionalFormatting sqref="I15:I21 M21:N22 I22:K22">
    <cfRule type="expression" dxfId="417" priority="777">
      <formula>#REF!="Jenne, Richard"</formula>
    </cfRule>
    <cfRule type="expression" dxfId="416" priority="776">
      <formula>#REF!="Benzick, Sue"</formula>
    </cfRule>
    <cfRule type="expression" dxfId="415" priority="778">
      <formula>#REF!="McQueen, Jennifer"</formula>
    </cfRule>
  </conditionalFormatting>
  <conditionalFormatting sqref="I23:I26 I38:I39 I98:I99 I101:I103 I131:I138 I155:I164 I170:I172 I189:I191 I193:I194 I196:I199 I204:I209 I230:I237 I239:I248 I250:I253 I289:I290 I337:I338 I355 I362 I373 I382 I394:I396">
    <cfRule type="expression" dxfId="414" priority="613">
      <formula>#REF!="McQueen, Jennifer"</formula>
    </cfRule>
    <cfRule type="expression" dxfId="413" priority="612">
      <formula>#REF!="Jenne, Richard"</formula>
    </cfRule>
    <cfRule type="expression" dxfId="412" priority="611">
      <formula>#REF!="Benzick, Sue"</formula>
    </cfRule>
  </conditionalFormatting>
  <conditionalFormatting sqref="I28:I32">
    <cfRule type="expression" dxfId="411" priority="405">
      <formula>#REF!="Jenne, Richard"</formula>
    </cfRule>
    <cfRule type="expression" dxfId="410" priority="406">
      <formula>#REF!="McQueen, Jennifer"</formula>
    </cfRule>
    <cfRule type="expression" dxfId="409" priority="404">
      <formula>#REF!="Benzick, Sue"</formula>
    </cfRule>
  </conditionalFormatting>
  <conditionalFormatting sqref="I34:I36">
    <cfRule type="expression" dxfId="408" priority="403">
      <formula>#REF!="McQueen, Jennifer"</formula>
    </cfRule>
    <cfRule type="expression" dxfId="407" priority="402">
      <formula>#REF!="Jenne, Richard"</formula>
    </cfRule>
    <cfRule type="expression" dxfId="406" priority="401">
      <formula>#REF!="Benzick, Sue"</formula>
    </cfRule>
  </conditionalFormatting>
  <conditionalFormatting sqref="I45">
    <cfRule type="expression" dxfId="405" priority="743">
      <formula>#REF!="Benzick, Sue"</formula>
    </cfRule>
    <cfRule type="expression" dxfId="404" priority="744">
      <formula>#REF!="Jenne, Richard"</formula>
    </cfRule>
    <cfRule type="expression" dxfId="403" priority="745">
      <formula>#REF!="McQueen, Jennifer"</formula>
    </cfRule>
  </conditionalFormatting>
  <conditionalFormatting sqref="I47:I66">
    <cfRule type="expression" dxfId="402" priority="393">
      <formula>#REF!="Jenne, Richard"</formula>
    </cfRule>
    <cfRule type="expression" dxfId="401" priority="394">
      <formula>#REF!="McQueen, Jennifer"</formula>
    </cfRule>
    <cfRule type="expression" dxfId="400" priority="392">
      <formula>#REF!="Benzick, Sue"</formula>
    </cfRule>
  </conditionalFormatting>
  <conditionalFormatting sqref="I68:I77">
    <cfRule type="expression" dxfId="399" priority="260">
      <formula>#REF!="Benzick, Sue"</formula>
    </cfRule>
    <cfRule type="expression" dxfId="398" priority="261">
      <formula>#REF!="Jenne, Richard"</formula>
    </cfRule>
    <cfRule type="expression" dxfId="397" priority="262">
      <formula>#REF!="McQueen, Jennifer"</formula>
    </cfRule>
  </conditionalFormatting>
  <conditionalFormatting sqref="I80:I89">
    <cfRule type="expression" dxfId="396" priority="378">
      <formula>#REF!="Jenne, Richard"</formula>
    </cfRule>
    <cfRule type="expression" dxfId="395" priority="377">
      <formula>#REF!="Benzick, Sue"</formula>
    </cfRule>
    <cfRule type="expression" dxfId="394" priority="379">
      <formula>#REF!="McQueen, Jennifer"</formula>
    </cfRule>
  </conditionalFormatting>
  <conditionalFormatting sqref="I108:I129">
    <cfRule type="expression" dxfId="393" priority="366">
      <formula>#REF!="Jenne, Richard"</formula>
    </cfRule>
    <cfRule type="expression" dxfId="392" priority="365">
      <formula>#REF!="Benzick, Sue"</formula>
    </cfRule>
    <cfRule type="expression" dxfId="391" priority="367">
      <formula>#REF!="McQueen, Jennifer"</formula>
    </cfRule>
  </conditionalFormatting>
  <conditionalFormatting sqref="I183:I184 I185:N185 I187:N188 I192:N192">
    <cfRule type="expression" dxfId="390" priority="800">
      <formula>#REF!="Benzick, Sue"</formula>
    </cfRule>
    <cfRule type="expression" dxfId="389" priority="802">
      <formula>#REF!="McQueen, Jennifer"</formula>
    </cfRule>
    <cfRule type="expression" dxfId="388" priority="801">
      <formula>#REF!="Jenne, Richard"</formula>
    </cfRule>
  </conditionalFormatting>
  <conditionalFormatting sqref="I216">
    <cfRule type="expression" dxfId="387" priority="786">
      <formula>#REF!="Jenne, Richard"</formula>
    </cfRule>
    <cfRule type="expression" dxfId="386" priority="787">
      <formula>#REF!="McQueen, Jennifer"</formula>
    </cfRule>
    <cfRule type="expression" dxfId="385" priority="785">
      <formula>#REF!="Benzick, Sue"</formula>
    </cfRule>
  </conditionalFormatting>
  <conditionalFormatting sqref="I389">
    <cfRule type="expression" dxfId="384" priority="656">
      <formula>#REF!="Benzick, Sue"</formula>
    </cfRule>
    <cfRule type="expression" dxfId="383" priority="657">
      <formula>#REF!="Jenne, Richard"</formula>
    </cfRule>
    <cfRule type="expression" dxfId="382" priority="658">
      <formula>#REF!="McQueen, Jennifer"</formula>
    </cfRule>
  </conditionalFormatting>
  <conditionalFormatting sqref="I27:K27">
    <cfRule type="expression" dxfId="381" priority="771">
      <formula>#REF!="Jenne, Richard"</formula>
    </cfRule>
    <cfRule type="expression" dxfId="380" priority="770">
      <formula>#REF!="Benzick, Sue"</formula>
    </cfRule>
    <cfRule type="expression" dxfId="379" priority="772">
      <formula>#REF!="McQueen, Jennifer"</formula>
    </cfRule>
  </conditionalFormatting>
  <conditionalFormatting sqref="I37:K37 M37:N37">
    <cfRule type="expression" dxfId="378" priority="586">
      <formula>#REF!="McQueen, Jennifer"</formula>
    </cfRule>
    <cfRule type="expression" dxfId="377" priority="585">
      <formula>#REF!="Jenne, Richard"</formula>
    </cfRule>
    <cfRule type="expression" dxfId="376" priority="584">
      <formula>#REF!="Benzick, Sue"</formula>
    </cfRule>
  </conditionalFormatting>
  <conditionalFormatting sqref="I174:L174 N174 H180:H181 H182:I182 H364:I367 I368:I370 H371:I372 H373">
    <cfRule type="expression" dxfId="375" priority="881">
      <formula>#REF!="Benzick, Sue"</formula>
    </cfRule>
    <cfRule type="expression" dxfId="374" priority="882">
      <formula>#REF!="Jenne, Richard"</formula>
    </cfRule>
    <cfRule type="expression" dxfId="373" priority="883">
      <formula>#REF!="McQueen, Jennifer"</formula>
    </cfRule>
  </conditionalFormatting>
  <conditionalFormatting sqref="I14:N14">
    <cfRule type="expression" dxfId="372" priority="591">
      <formula>#REF!="Jenne, Richard"</formula>
    </cfRule>
    <cfRule type="expression" dxfId="371" priority="592">
      <formula>#REF!="McQueen, Jennifer"</formula>
    </cfRule>
    <cfRule type="expression" dxfId="370" priority="590">
      <formula>#REF!="Benzick, Sue"</formula>
    </cfRule>
  </conditionalFormatting>
  <conditionalFormatting sqref="I46:N46">
    <cfRule type="expression" dxfId="369" priority="739">
      <formula>#REF!="McQueen, Jennifer"</formula>
    </cfRule>
    <cfRule type="expression" dxfId="368" priority="738">
      <formula>#REF!="Jenne, Richard"</formula>
    </cfRule>
    <cfRule type="expression" dxfId="367" priority="737">
      <formula>#REF!="Benzick, Sue"</formula>
    </cfRule>
  </conditionalFormatting>
  <conditionalFormatting sqref="I100:N100">
    <cfRule type="expression" dxfId="366" priority="581">
      <formula>#REF!="Benzick, Sue"</formula>
    </cfRule>
    <cfRule type="expression" dxfId="365" priority="583">
      <formula>#REF!="McQueen, Jennifer"</formula>
    </cfRule>
    <cfRule type="expression" dxfId="364" priority="582">
      <formula>#REF!="Jenne, Richard"</formula>
    </cfRule>
  </conditionalFormatting>
  <conditionalFormatting sqref="I104:N104">
    <cfRule type="expression" dxfId="363" priority="700">
      <formula>#REF!="McQueen, Jennifer"</formula>
    </cfRule>
    <cfRule type="expression" dxfId="362" priority="698">
      <formula>#REF!="Benzick, Sue"</formula>
    </cfRule>
    <cfRule type="expression" dxfId="361" priority="699">
      <formula>#REF!="Jenne, Richard"</formula>
    </cfRule>
  </conditionalFormatting>
  <conditionalFormatting sqref="I181:N181">
    <cfRule type="expression" dxfId="360" priority="821">
      <formula>#REF!="Benzick, Sue"</formula>
    </cfRule>
    <cfRule type="expression" dxfId="359" priority="822">
      <formula>#REF!="Jenne, Richard"</formula>
    </cfRule>
    <cfRule type="expression" dxfId="358" priority="823">
      <formula>#REF!="McQueen, Jennifer"</formula>
    </cfRule>
  </conditionalFormatting>
  <conditionalFormatting sqref="I200:N201 I203:N203">
    <cfRule type="expression" dxfId="357" priority="791">
      <formula>#REF!="Benzick, Sue"</formula>
    </cfRule>
    <cfRule type="expression" dxfId="356" priority="793">
      <formula>#REF!="McQueen, Jennifer"</formula>
    </cfRule>
    <cfRule type="expression" dxfId="355" priority="792">
      <formula>#REF!="Jenne, Richard"</formula>
    </cfRule>
  </conditionalFormatting>
  <conditionalFormatting sqref="I347:N347 I348 I349:N351 I352">
    <cfRule type="expression" dxfId="354" priority="842">
      <formula>#REF!="Benzick, Sue"</formula>
    </cfRule>
    <cfRule type="expression" dxfId="353" priority="844">
      <formula>#REF!="McQueen, Jennifer"</formula>
    </cfRule>
    <cfRule type="expression" dxfId="352" priority="843">
      <formula>#REF!="Jenne, Richard"</formula>
    </cfRule>
  </conditionalFormatting>
  <conditionalFormatting sqref="J7:J10">
    <cfRule type="expression" dxfId="351" priority="191">
      <formula>#REF!="Benzick, Sue"</formula>
    </cfRule>
    <cfRule type="expression" dxfId="350" priority="192">
      <formula>#REF!="Jenne, Richard"</formula>
    </cfRule>
    <cfRule type="expression" dxfId="349" priority="193">
      <formula>#REF!="McQueen, Jennifer"</formula>
    </cfRule>
  </conditionalFormatting>
  <conditionalFormatting sqref="J18:J19">
    <cfRule type="expression" dxfId="348" priority="186">
      <formula>#REF!="Jenne, Richard"</formula>
    </cfRule>
    <cfRule type="expression" dxfId="347" priority="187">
      <formula>#REF!="McQueen, Jennifer"</formula>
    </cfRule>
    <cfRule type="expression" dxfId="346" priority="185">
      <formula>#REF!="Benzick, Sue"</formula>
    </cfRule>
  </conditionalFormatting>
  <conditionalFormatting sqref="J28:J31">
    <cfRule type="expression" dxfId="345" priority="350">
      <formula>#REF!="Benzick, Sue"</formula>
    </cfRule>
    <cfRule type="expression" dxfId="344" priority="351">
      <formula>#REF!="Jenne, Richard"</formula>
    </cfRule>
    <cfRule type="expression" dxfId="343" priority="352">
      <formula>#REF!="McQueen, Jennifer"</formula>
    </cfRule>
  </conditionalFormatting>
  <conditionalFormatting sqref="J35">
    <cfRule type="expression" dxfId="342" priority="348">
      <formula>#REF!="Jenne, Richard"</formula>
    </cfRule>
    <cfRule type="expression" dxfId="341" priority="347">
      <formula>#REF!="Benzick, Sue"</formula>
    </cfRule>
    <cfRule type="expression" dxfId="340" priority="349">
      <formula>#REF!="McQueen, Jennifer"</formula>
    </cfRule>
  </conditionalFormatting>
  <conditionalFormatting sqref="J43:J45">
    <cfRule type="expression" dxfId="339" priority="182">
      <formula>#REF!="Benzick, Sue"</formula>
    </cfRule>
    <cfRule type="expression" dxfId="338" priority="184">
      <formula>#REF!="McQueen, Jennifer"</formula>
    </cfRule>
    <cfRule type="expression" dxfId="337" priority="183">
      <formula>#REF!="Jenne, Richard"</formula>
    </cfRule>
  </conditionalFormatting>
  <conditionalFormatting sqref="J48">
    <cfRule type="expression" dxfId="336" priority="179">
      <formula>#REF!="Benzick, Sue"</formula>
    </cfRule>
    <cfRule type="expression" dxfId="335" priority="180">
      <formula>#REF!="Jenne, Richard"</formula>
    </cfRule>
    <cfRule type="expression" dxfId="334" priority="181">
      <formula>#REF!="McQueen, Jennifer"</formula>
    </cfRule>
  </conditionalFormatting>
  <conditionalFormatting sqref="J55:J58">
    <cfRule type="expression" dxfId="333" priority="178">
      <formula>#REF!="McQueen, Jennifer"</formula>
    </cfRule>
    <cfRule type="expression" dxfId="332" priority="177">
      <formula>#REF!="Jenne, Richard"</formula>
    </cfRule>
    <cfRule type="expression" dxfId="331" priority="176">
      <formula>#REF!="Benzick, Sue"</formula>
    </cfRule>
  </conditionalFormatting>
  <conditionalFormatting sqref="J62">
    <cfRule type="expression" dxfId="330" priority="338">
      <formula>#REF!="Benzick, Sue"</formula>
    </cfRule>
    <cfRule type="expression" dxfId="329" priority="339">
      <formula>#REF!="Jenne, Richard"</formula>
    </cfRule>
    <cfRule type="expression" dxfId="328" priority="340">
      <formula>#REF!="McQueen, Jennifer"</formula>
    </cfRule>
  </conditionalFormatting>
  <conditionalFormatting sqref="J70">
    <cfRule type="expression" dxfId="327" priority="206">
      <formula>#REF!="Benzick, Sue"</formula>
    </cfRule>
    <cfRule type="expression" dxfId="326" priority="207">
      <formula>#REF!="Jenne, Richard"</formula>
    </cfRule>
    <cfRule type="expression" dxfId="325" priority="208">
      <formula>#REF!="McQueen, Jennifer"</formula>
    </cfRule>
  </conditionalFormatting>
  <conditionalFormatting sqref="J72">
    <cfRule type="expression" dxfId="324" priority="335">
      <formula>#REF!="Benzick, Sue"</formula>
    </cfRule>
    <cfRule type="expression" dxfId="323" priority="337">
      <formula>#REF!="McQueen, Jennifer"</formula>
    </cfRule>
    <cfRule type="expression" dxfId="322" priority="336">
      <formula>#REF!="Jenne, Richard"</formula>
    </cfRule>
  </conditionalFormatting>
  <conditionalFormatting sqref="J75:J77">
    <cfRule type="expression" dxfId="321" priority="328">
      <formula>#REF!="McQueen, Jennifer"</formula>
    </cfRule>
    <cfRule type="expression" dxfId="320" priority="327">
      <formula>#REF!="Jenne, Richard"</formula>
    </cfRule>
    <cfRule type="expression" dxfId="319" priority="326">
      <formula>#REF!="Benzick, Sue"</formula>
    </cfRule>
  </conditionalFormatting>
  <conditionalFormatting sqref="J81">
    <cfRule type="expression" dxfId="318" priority="323">
      <formula>#REF!="Benzick, Sue"</formula>
    </cfRule>
    <cfRule type="expression" dxfId="317" priority="324">
      <formula>#REF!="Jenne, Richard"</formula>
    </cfRule>
    <cfRule type="expression" dxfId="316" priority="325">
      <formula>#REF!="McQueen, Jennifer"</formula>
    </cfRule>
  </conditionalFormatting>
  <conditionalFormatting sqref="J85">
    <cfRule type="expression" dxfId="315" priority="173">
      <formula>#REF!="Benzick, Sue"</formula>
    </cfRule>
    <cfRule type="expression" dxfId="314" priority="174">
      <formula>#REF!="Jenne, Richard"</formula>
    </cfRule>
    <cfRule type="expression" dxfId="313" priority="175">
      <formula>#REF!="McQueen, Jennifer"</formula>
    </cfRule>
  </conditionalFormatting>
  <conditionalFormatting sqref="J93">
    <cfRule type="expression" dxfId="312" priority="709">
      <formula>$Y93="McQueen, Jennifer"</formula>
    </cfRule>
    <cfRule type="expression" dxfId="311" priority="707">
      <formula>$Y93="Benzick, Sue"</formula>
    </cfRule>
    <cfRule type="expression" dxfId="310" priority="708">
      <formula>$Y93="Jenne, Richard"</formula>
    </cfRule>
  </conditionalFormatting>
  <conditionalFormatting sqref="J97:J99">
    <cfRule type="expression" dxfId="309" priority="165">
      <formula>#REF!="Jenne, Richard"</formula>
    </cfRule>
    <cfRule type="expression" dxfId="308" priority="164">
      <formula>#REF!="Benzick, Sue"</formula>
    </cfRule>
    <cfRule type="expression" dxfId="307" priority="166">
      <formula>#REF!="McQueen, Jennifer"</formula>
    </cfRule>
  </conditionalFormatting>
  <conditionalFormatting sqref="J101:J103">
    <cfRule type="expression" dxfId="306" priority="158">
      <formula>#REF!="Benzick, Sue"</formula>
    </cfRule>
    <cfRule type="expression" dxfId="305" priority="159">
      <formula>#REF!="Jenne, Richard"</formula>
    </cfRule>
    <cfRule type="expression" dxfId="304" priority="160">
      <formula>#REF!="McQueen, Jennifer"</formula>
    </cfRule>
  </conditionalFormatting>
  <conditionalFormatting sqref="J110:J112">
    <cfRule type="expression" dxfId="303" priority="153">
      <formula>#REF!="Jenne, Richard"</formula>
    </cfRule>
    <cfRule type="expression" dxfId="302" priority="154">
      <formula>#REF!="McQueen, Jennifer"</formula>
    </cfRule>
    <cfRule type="expression" dxfId="301" priority="152">
      <formula>#REF!="Benzick, Sue"</formula>
    </cfRule>
  </conditionalFormatting>
  <conditionalFormatting sqref="J115">
    <cfRule type="expression" dxfId="300" priority="155">
      <formula>#REF!="Benzick, Sue"</formula>
    </cfRule>
    <cfRule type="expression" dxfId="299" priority="156">
      <formula>#REF!="Jenne, Richard"</formula>
    </cfRule>
    <cfRule type="expression" dxfId="298" priority="157">
      <formula>#REF!="McQueen, Jennifer"</formula>
    </cfRule>
  </conditionalFormatting>
  <conditionalFormatting sqref="J120:J122">
    <cfRule type="expression" dxfId="297" priority="311">
      <formula>#REF!="Benzick, Sue"</formula>
    </cfRule>
    <cfRule type="expression" dxfId="296" priority="312">
      <formula>#REF!="Jenne, Richard"</formula>
    </cfRule>
    <cfRule type="expression" dxfId="295" priority="313">
      <formula>#REF!="McQueen, Jennifer"</formula>
    </cfRule>
  </conditionalFormatting>
  <conditionalFormatting sqref="J149">
    <cfRule type="expression" dxfId="294" priority="838">
      <formula>$Y149="McQueen, Jennifer"</formula>
    </cfRule>
    <cfRule type="expression" dxfId="293" priority="837">
      <formula>$Y149="Jenne, Richard"</formula>
    </cfRule>
    <cfRule type="expression" dxfId="292" priority="836">
      <formula>$Y149="Benzick, Sue"</formula>
    </cfRule>
  </conditionalFormatting>
  <conditionalFormatting sqref="J176">
    <cfRule type="expression" dxfId="291" priority="808">
      <formula>#REF!="McQueen, Jennifer"</formula>
    </cfRule>
    <cfRule type="expression" dxfId="290" priority="806">
      <formula>#REF!="Benzick, Sue"</formula>
    </cfRule>
    <cfRule type="expression" dxfId="289" priority="807">
      <formula>#REF!="Jenne, Richard"</formula>
    </cfRule>
  </conditionalFormatting>
  <conditionalFormatting sqref="J20:K20">
    <cfRule type="expression" dxfId="288" priority="779">
      <formula>$Y20="Benzick, Sue"</formula>
    </cfRule>
    <cfRule type="expression" dxfId="287" priority="780">
      <formula>$Y20="Jenne, Richard"</formula>
    </cfRule>
    <cfRule type="expression" dxfId="286" priority="781">
      <formula>$Y20="McQueen, Jennifer"</formula>
    </cfRule>
  </conditionalFormatting>
  <conditionalFormatting sqref="J26:K26">
    <cfRule type="expression" dxfId="285" priority="773">
      <formula>#REF!="Benzick, Sue"</formula>
    </cfRule>
    <cfRule type="expression" dxfId="284" priority="774">
      <formula>#REF!="Jenne, Richard"</formula>
    </cfRule>
    <cfRule type="expression" dxfId="283" priority="775">
      <formula>#REF!="McQueen, Jennifer"</formula>
    </cfRule>
  </conditionalFormatting>
  <conditionalFormatting sqref="J32:K32">
    <cfRule type="expression" dxfId="282" priority="765">
      <formula>$Y32="Jenne, Richard"</formula>
    </cfRule>
    <cfRule type="expression" dxfId="281" priority="764">
      <formula>$Y32="Benzick, Sue"</formula>
    </cfRule>
    <cfRule type="expression" dxfId="280" priority="766">
      <formula>$Y32="McQueen, Jennifer"</formula>
    </cfRule>
  </conditionalFormatting>
  <conditionalFormatting sqref="J4:L6 N6 J15:K17 M15:N17 L15:L22 K18:K19 J21:K21 M23 L24 M25 J40 I41:I43 H67:I67 M67 M69 H77 H78:I78 J86:N86 I91:N91 I92:I95 I139:N140 I141:I151 I152:N152 I154:N154 J156:N158 I165:N169 J172:N172 I173:N173 I175:N175 I177:N177 I179:I180 J182:N182 I186 I202 J209:N209 I217:N217 I296:N296 I299:N299 I300:I301 I302:N303 I305:N306 I308 I311 J318:N318 H319:I319 J320:N321 H322:H324 H328 H329:I332 I333 H334:I335 I339:N339 H340:I340 I341 H342:I342 L343:L345 H344:I346 H353:I354 H355 H356:I361 H362 I384 I404">
    <cfRule type="expression" dxfId="279" priority="887">
      <formula>#REF!="Benzick, Sue"</formula>
    </cfRule>
  </conditionalFormatting>
  <conditionalFormatting sqref="J4:L6 N6 J15:K17 M15:N17 L15:L22 K18:K19 J21:K21 M23 L24 M25 L26:L30 L32:L34 H33:I33 J40 I41:I43 H67:I67 M67 M69 H77 H78:I78 J86:N86 I91:N91 I92:I95 I139:N140 I141:I151 I152:N152 I154:N154 J156:N158 I165:N169 J172:N172 I173:N173 I175:N175 I177:N177 I179:I180 J182:N182 I186 I202 J209:N209 I217:N217 I299:N299 I300:I301 I302:N303 I305:N306 I308 I311 H319:I319 J320:N321 H322:H324 H328 H329:I332 I333 H334:I335 I339:N339 H340:I340 I341 H342:I342 L343:L345 H344:I346 H353:I354 H355 H356:I361 H362 I384 I404">
    <cfRule type="expression" dxfId="278" priority="889">
      <formula>#REF!="McQueen, Jennifer"</formula>
    </cfRule>
    <cfRule type="expression" dxfId="277" priority="888">
      <formula>#REF!="Jenne, Richard"</formula>
    </cfRule>
  </conditionalFormatting>
  <conditionalFormatting sqref="J73:L73">
    <cfRule type="expression" dxfId="276" priority="721">
      <formula>#REF!="McQueen, Jennifer"</formula>
    </cfRule>
    <cfRule type="expression" dxfId="275" priority="719">
      <formula>#REF!="Benzick, Sue"</formula>
    </cfRule>
    <cfRule type="expression" dxfId="274" priority="720">
      <formula>#REF!="Jenne, Richard"</formula>
    </cfRule>
  </conditionalFormatting>
  <conditionalFormatting sqref="J87:L87">
    <cfRule type="expression" dxfId="273" priority="711">
      <formula>$Y87="Jenne, Richard"</formula>
    </cfRule>
    <cfRule type="expression" dxfId="272" priority="712">
      <formula>$Y87="McQueen, Jennifer"</formula>
    </cfRule>
    <cfRule type="expression" dxfId="271" priority="710">
      <formula>$Y87="Benzick, Sue"</formula>
    </cfRule>
  </conditionalFormatting>
  <conditionalFormatting sqref="J65:N65">
    <cfRule type="expression" dxfId="270" priority="733">
      <formula>$Y65="McQueen, Jennifer"</formula>
    </cfRule>
    <cfRule type="expression" dxfId="269" priority="732">
      <formula>$Y65="Jenne, Richard"</formula>
    </cfRule>
    <cfRule type="expression" dxfId="268" priority="731">
      <formula>$Y65="Benzick, Sue"</formula>
    </cfRule>
  </conditionalFormatting>
  <conditionalFormatting sqref="J66:N66">
    <cfRule type="expression" dxfId="267" priority="730">
      <formula>#REF!="McQueen, Jennifer"</formula>
    </cfRule>
    <cfRule type="expression" dxfId="266" priority="728">
      <formula>#REF!="Benzick, Sue"</formula>
    </cfRule>
    <cfRule type="expression" dxfId="265" priority="729">
      <formula>#REF!="Jenne, Richard"</formula>
    </cfRule>
  </conditionalFormatting>
  <conditionalFormatting sqref="J80:N80">
    <cfRule type="expression" dxfId="264" priority="716">
      <formula>$Y80="Benzick, Sue"</formula>
    </cfRule>
    <cfRule type="expression" dxfId="263" priority="717">
      <formula>$Y80="Jenne, Richard"</formula>
    </cfRule>
    <cfRule type="expression" dxfId="262" priority="718">
      <formula>$Y80="McQueen, Jennifer"</formula>
    </cfRule>
  </conditionalFormatting>
  <conditionalFormatting sqref="J95:N95 I96:N96">
    <cfRule type="expression" dxfId="261" priority="704">
      <formula>#REF!="Benzick, Sue"</formula>
    </cfRule>
    <cfRule type="expression" dxfId="260" priority="705">
      <formula>#REF!="Jenne, Richard"</formula>
    </cfRule>
    <cfRule type="expression" dxfId="259" priority="706">
      <formula>#REF!="McQueen, Jennifer"</formula>
    </cfRule>
  </conditionalFormatting>
  <conditionalFormatting sqref="J105:N105">
    <cfRule type="expression" dxfId="258" priority="697">
      <formula>$Y105="McQueen, Jennifer"</formula>
    </cfRule>
    <cfRule type="expression" dxfId="257" priority="696">
      <formula>$Y105="Jenne, Richard"</formula>
    </cfRule>
    <cfRule type="expression" dxfId="256" priority="695">
      <formula>$Y105="Benzick, Sue"</formula>
    </cfRule>
  </conditionalFormatting>
  <conditionalFormatting sqref="J107:N107 J108:K108 M108:N108 J109:N109 K110:N111 J113:L113 J116:L116 J117:N119 K120:N120 K122:N122 J123:N129 J131:N138 J163:N164 J193:N194 J197:N197 J223:N223 J230:N236 J239:N239 J265:N265 J267:N277 J279:N281 J307:N307 J352:N354">
    <cfRule type="expression" dxfId="255" priority="660">
      <formula>#REF!="Jenne, Richard"</formula>
    </cfRule>
    <cfRule type="expression" dxfId="254" priority="659">
      <formula>#REF!="Benzick, Sue"</formula>
    </cfRule>
    <cfRule type="expression" dxfId="253" priority="661">
      <formula>#REF!="McQueen, Jennifer"</formula>
    </cfRule>
  </conditionalFormatting>
  <conditionalFormatting sqref="J153:N153 J313:N315">
    <cfRule type="expression" dxfId="252" priority="673">
      <formula>#REF!="McQueen, Jennifer"</formula>
    </cfRule>
    <cfRule type="expression" dxfId="251" priority="671">
      <formula>#REF!="Benzick, Sue"</formula>
    </cfRule>
    <cfRule type="expression" dxfId="250" priority="672">
      <formula>#REF!="Jenne, Richard"</formula>
    </cfRule>
  </conditionalFormatting>
  <conditionalFormatting sqref="J160:N161 J190:N191 J218:N218 J290:N290 J365:N372 J381:N381 J405:N405">
    <cfRule type="expression" dxfId="249" priority="670">
      <formula>#REF!="McQueen, Jennifer"</formula>
    </cfRule>
    <cfRule type="expression" dxfId="248" priority="669">
      <formula>#REF!="Jenne, Richard"</formula>
    </cfRule>
    <cfRule type="expression" dxfId="247" priority="668">
      <formula>#REF!="Benzick, Sue"</formula>
    </cfRule>
  </conditionalFormatting>
  <conditionalFormatting sqref="J216:N216">
    <cfRule type="expression" dxfId="246" priority="674">
      <formula>#REF!="Benzick, Sue"</formula>
    </cfRule>
    <cfRule type="expression" dxfId="245" priority="675">
      <formula>#REF!="Jenne, Richard"</formula>
    </cfRule>
    <cfRule type="expression" dxfId="244" priority="676">
      <formula>#REF!="McQueen, Jennifer"</formula>
    </cfRule>
  </conditionalFormatting>
  <conditionalFormatting sqref="J243:N246 J248:N248 J250:N253">
    <cfRule type="expression" dxfId="243" priority="622">
      <formula>#REF!="McQueen, Jennifer"</formula>
    </cfRule>
    <cfRule type="expression" dxfId="242" priority="621">
      <formula>#REF!="Jenne, Richard"</formula>
    </cfRule>
    <cfRule type="expression" dxfId="241" priority="620">
      <formula>#REF!="Benzick, Sue"</formula>
    </cfRule>
  </conditionalFormatting>
  <conditionalFormatting sqref="J325:N327 J341:N341 J348:N348">
    <cfRule type="expression" dxfId="240" priority="664">
      <formula>#REF!="McQueen, Jennifer"</formula>
    </cfRule>
    <cfRule type="expression" dxfId="239" priority="662">
      <formula>#REF!="Benzick, Sue"</formula>
    </cfRule>
    <cfRule type="expression" dxfId="238" priority="663">
      <formula>#REF!="Jenne, Richard"</formula>
    </cfRule>
  </conditionalFormatting>
  <conditionalFormatting sqref="J331:N335 J388:N389">
    <cfRule type="expression" dxfId="237" priority="667">
      <formula>#REF!="McQueen, Jennifer"</formula>
    </cfRule>
    <cfRule type="expression" dxfId="236" priority="666">
      <formula>#REF!="Jenne, Richard"</formula>
    </cfRule>
    <cfRule type="expression" dxfId="235" priority="665">
      <formula>#REF!="Benzick, Sue"</formula>
    </cfRule>
  </conditionalFormatting>
  <conditionalFormatting sqref="K9">
    <cfRule type="expression" dxfId="234" priority="593">
      <formula>#REF!="Benzick, Sue"</formula>
    </cfRule>
    <cfRule type="expression" dxfId="233" priority="595">
      <formula>#REF!="McQueen, Jennifer"</formula>
    </cfRule>
    <cfRule type="expression" dxfId="232" priority="594">
      <formula>#REF!="Jenne, Richard"</formula>
    </cfRule>
  </conditionalFormatting>
  <conditionalFormatting sqref="K33">
    <cfRule type="expression" dxfId="231" priority="111">
      <formula>#REF!="Jenne, Richard"</formula>
    </cfRule>
    <cfRule type="expression" dxfId="230" priority="112">
      <formula>#REF!="McQueen, Jennifer"</formula>
    </cfRule>
    <cfRule type="expression" dxfId="229" priority="110">
      <formula>#REF!="Benzick, Sue"</formula>
    </cfRule>
  </conditionalFormatting>
  <conditionalFormatting sqref="K51">
    <cfRule type="expression" dxfId="228" priority="23">
      <formula>#REF!="Benzick, Sue"</formula>
    </cfRule>
    <cfRule type="expression" dxfId="227" priority="24">
      <formula>#REF!="Jenne, Richard"</formula>
    </cfRule>
    <cfRule type="expression" dxfId="226" priority="25">
      <formula>#REF!="McQueen, Jennifer"</formula>
    </cfRule>
  </conditionalFormatting>
  <conditionalFormatting sqref="K54">
    <cfRule type="expression" dxfId="225" priority="28">
      <formula>#REF!="McQueen, Jennifer"</formula>
    </cfRule>
    <cfRule type="expression" dxfId="224" priority="26">
      <formula>#REF!="Benzick, Sue"</formula>
    </cfRule>
    <cfRule type="expression" dxfId="223" priority="27">
      <formula>#REF!="Jenne, Richard"</formula>
    </cfRule>
  </conditionalFormatting>
  <conditionalFormatting sqref="K78 K88:K90 K143:K144 K183:K184 K199 K208 K219:K220 K241:K242 K263 K283 K309 K316:K317 K356:K358 K383 K390:K391 K403">
    <cfRule type="expression" dxfId="222" priority="691">
      <formula>#REF!="McQueen, Jennifer"</formula>
    </cfRule>
    <cfRule type="expression" dxfId="221" priority="690">
      <formula>#REF!="Jenne, Richard"</formula>
    </cfRule>
    <cfRule type="expression" dxfId="220" priority="689">
      <formula>#REF!="Benzick, Sue"</formula>
    </cfRule>
  </conditionalFormatting>
  <conditionalFormatting sqref="K93">
    <cfRule type="expression" dxfId="219" priority="94">
      <formula>#REF!="McQueen, Jennifer"</formula>
    </cfRule>
    <cfRule type="expression" dxfId="218" priority="93">
      <formula>#REF!="Jenne, Richard"</formula>
    </cfRule>
    <cfRule type="expression" dxfId="217" priority="92">
      <formula>#REF!="Benzick, Sue"</formula>
    </cfRule>
  </conditionalFormatting>
  <conditionalFormatting sqref="K97 K99 K101:K102">
    <cfRule type="expression" dxfId="216" priority="653">
      <formula>#REF!="Benzick, Sue"</formula>
    </cfRule>
    <cfRule type="expression" dxfId="215" priority="655">
      <formula>#REF!="McQueen, Jennifer"</formula>
    </cfRule>
    <cfRule type="expression" dxfId="214" priority="654">
      <formula>#REF!="Jenne, Richard"</formula>
    </cfRule>
  </conditionalFormatting>
  <conditionalFormatting sqref="K238">
    <cfRule type="expression" dxfId="213" priority="631">
      <formula>#REF!="McQueen, Jennifer"</formula>
    </cfRule>
    <cfRule type="expression" dxfId="212" priority="630">
      <formula>#REF!="Jenne, Richard"</formula>
    </cfRule>
    <cfRule type="expression" dxfId="211" priority="629">
      <formula>#REF!="Benzick, Sue"</formula>
    </cfRule>
  </conditionalFormatting>
  <conditionalFormatting sqref="K7:L8">
    <cfRule type="expression" dxfId="210" priority="898">
      <formula>$X7="McQueen, Jennifer"</formula>
    </cfRule>
    <cfRule type="expression" dxfId="209" priority="897">
      <formula>$X7="Jenne, Richard"</formula>
    </cfRule>
    <cfRule type="expression" dxfId="208" priority="896">
      <formula>$X7="Benzick, Sue"</formula>
    </cfRule>
  </conditionalFormatting>
  <conditionalFormatting sqref="K10:L10 J11:N13 F54:G54 I54:J54 F61">
    <cfRule type="expression" dxfId="207" priority="904">
      <formula>#REF!="McQueen, Jennifer"</formula>
    </cfRule>
    <cfRule type="expression" dxfId="206" priority="902">
      <formula>#REF!="Benzick, Sue"</formula>
    </cfRule>
    <cfRule type="expression" dxfId="205" priority="903">
      <formula>#REF!="Jenne, Richard"</formula>
    </cfRule>
  </conditionalFormatting>
  <conditionalFormatting sqref="K31:L31 N31">
    <cfRule type="expression" dxfId="204" priority="589">
      <formula>#REF!="McQueen, Jennifer"</formula>
    </cfRule>
    <cfRule type="expression" dxfId="203" priority="587">
      <formula>#REF!="Benzick, Sue"</formula>
    </cfRule>
    <cfRule type="expression" dxfId="202" priority="588">
      <formula>#REF!="Jenne, Richard"</formula>
    </cfRule>
  </conditionalFormatting>
  <conditionalFormatting sqref="K35:L35 N35 J36:N36">
    <cfRule type="expression" dxfId="201" priority="754">
      <formula>#REF!="McQueen, Jennifer"</formula>
    </cfRule>
    <cfRule type="expression" dxfId="200" priority="752">
      <formula>#REF!="Benzick, Sue"</formula>
    </cfRule>
    <cfRule type="expression" dxfId="199" priority="753">
      <formula>#REF!="Jenne, Richard"</formula>
    </cfRule>
  </conditionalFormatting>
  <conditionalFormatting sqref="K43:L44">
    <cfRule type="expression" dxfId="198" priority="747">
      <formula>#REF!="Jenne, Richard"</formula>
    </cfRule>
    <cfRule type="expression" dxfId="197" priority="748">
      <formula>#REF!="McQueen, Jennifer"</formula>
    </cfRule>
    <cfRule type="expression" dxfId="196" priority="746">
      <formula>#REF!="Benzick, Sue"</formula>
    </cfRule>
  </conditionalFormatting>
  <conditionalFormatting sqref="K45:L45">
    <cfRule type="expression" dxfId="195" priority="740">
      <formula>$Y45="Benzick, Sue"</formula>
    </cfRule>
    <cfRule type="expression" dxfId="194" priority="741">
      <formula>$Y45="Jenne, Richard"</formula>
    </cfRule>
    <cfRule type="expression" dxfId="193" priority="742">
      <formula>$Y45="McQueen, Jennifer"</formula>
    </cfRule>
  </conditionalFormatting>
  <conditionalFormatting sqref="K48:L48 J49:N50 J51 M51 J52:N52">
    <cfRule type="expression" dxfId="192" priority="735">
      <formula>#REF!="Jenne, Richard"</formula>
    </cfRule>
    <cfRule type="expression" dxfId="191" priority="734">
      <formula>#REF!="Benzick, Sue"</formula>
    </cfRule>
    <cfRule type="expression" dxfId="190" priority="736">
      <formula>#REF!="McQueen, Jennifer"</formula>
    </cfRule>
  </conditionalFormatting>
  <conditionalFormatting sqref="K75:L75 K77:L77 J92:M92 J94:M94 K98:L98 J106:M106 K112:L112 J114:M114 K115:L115 K121:L121 J141:M141 J150:M150 J155:M155 J159:M159 J170:M171 J180:M180 J186:M186 J189:M189 J196:M196 J198:M198 J202:M202 J204:M207 J221:M222 J224:M226 J237:M237 J240:M240 J247:M247 J266:M266 J278:M278 J282:M282 J289:M289 J301:M301 J308:M308 J311:M311 J319:M319 J337:M338 J355:M355 J360:M360 J362:M362 J373:M373 J382:M382 J384:M384 J394:M396 J404:M404">
    <cfRule type="expression" dxfId="189" priority="609">
      <formula>#REF!="Jenne, Richard"</formula>
    </cfRule>
    <cfRule type="expression" dxfId="188" priority="610">
      <formula>#REF!="McQueen, Jennifer"</formula>
    </cfRule>
    <cfRule type="expression" dxfId="187" priority="608">
      <formula>#REF!="Benzick, Sue"</formula>
    </cfRule>
  </conditionalFormatting>
  <conditionalFormatting sqref="K85:L85">
    <cfRule type="expression" dxfId="186" priority="841">
      <formula>#REF!="McQueen, Jennifer"</formula>
    </cfRule>
    <cfRule type="expression" dxfId="185" priority="840">
      <formula>#REF!="Jenne, Richard"</formula>
    </cfRule>
    <cfRule type="expression" dxfId="184" priority="839">
      <formula>#REF!="Benzick, Sue"</formula>
    </cfRule>
  </conditionalFormatting>
  <conditionalFormatting sqref="L9">
    <cfRule type="expression" dxfId="183" priority="596">
      <formula>#REF!="Benzick, Sue"</formula>
    </cfRule>
    <cfRule type="expression" dxfId="182" priority="597">
      <formula>#REF!="Jenne, Richard"</formula>
    </cfRule>
    <cfRule type="expression" dxfId="181" priority="598">
      <formula>#REF!="McQueen, Jennifer"</formula>
    </cfRule>
  </conditionalFormatting>
  <conditionalFormatting sqref="L26:L30 H33:I33 H40:I40 H44:I44 I399">
    <cfRule type="expression" dxfId="180" priority="878">
      <formula>#REF!="Benzick, Sue"</formula>
    </cfRule>
  </conditionalFormatting>
  <conditionalFormatting sqref="L32:L34">
    <cfRule type="expression" dxfId="179" priority="16">
      <formula>#REF!="Benzick, Sue"</formula>
    </cfRule>
  </conditionalFormatting>
  <conditionalFormatting sqref="L37">
    <cfRule type="expression" dxfId="178" priority="15">
      <formula>#REF!="McQueen, Jennifer"</formula>
    </cfRule>
    <cfRule type="expression" dxfId="177" priority="13">
      <formula>#REF!="Benzick, Sue"</formula>
    </cfRule>
    <cfRule type="expression" dxfId="176" priority="14">
      <formula>#REF!="Jenne, Richard"</formula>
    </cfRule>
  </conditionalFormatting>
  <conditionalFormatting sqref="L40:L41">
    <cfRule type="expression" dxfId="175" priority="9">
      <formula>#REF!="McQueen, Jennifer"</formula>
    </cfRule>
    <cfRule type="expression" dxfId="174" priority="7">
      <formula>#REF!="Benzick, Sue"</formula>
    </cfRule>
    <cfRule type="expression" dxfId="173" priority="8">
      <formula>#REF!="Jenne, Richard"</formula>
    </cfRule>
  </conditionalFormatting>
  <conditionalFormatting sqref="L51">
    <cfRule type="expression" dxfId="172" priority="46">
      <formula>#REF!="McQueen, Jennifer"</formula>
    </cfRule>
    <cfRule type="expression" dxfId="171" priority="44">
      <formula>#REF!="Benzick, Sue"</formula>
    </cfRule>
    <cfRule type="expression" dxfId="170" priority="45">
      <formula>#REF!="Jenne, Richard"</formula>
    </cfRule>
  </conditionalFormatting>
  <conditionalFormatting sqref="L54">
    <cfRule type="expression" dxfId="169" priority="36">
      <formula>#REF!="Jenne, Richard"</formula>
    </cfRule>
    <cfRule type="expression" dxfId="168" priority="35">
      <formula>#REF!="Benzick, Sue"</formula>
    </cfRule>
    <cfRule type="expression" dxfId="167" priority="37">
      <formula>#REF!="McQueen, Jennifer"</formula>
    </cfRule>
  </conditionalFormatting>
  <conditionalFormatting sqref="L93">
    <cfRule type="expression" dxfId="166" priority="34">
      <formula>#REF!="McQueen, Jennifer"</formula>
    </cfRule>
    <cfRule type="expression" dxfId="165" priority="32">
      <formula>#REF!="Benzick, Sue"</formula>
    </cfRule>
    <cfRule type="expression" dxfId="164" priority="33">
      <formula>#REF!="Jenne, Richard"</formula>
    </cfRule>
  </conditionalFormatting>
  <conditionalFormatting sqref="L97 L99 L101:L102 K103:L103">
    <cfRule type="expression" dxfId="163" priority="701">
      <formula>#REF!="Benzick, Sue"</formula>
    </cfRule>
    <cfRule type="expression" dxfId="162" priority="702">
      <formula>#REF!="Jenne, Richard"</formula>
    </cfRule>
    <cfRule type="expression" dxfId="161" priority="703">
      <formula>#REF!="McQueen, Jennifer"</formula>
    </cfRule>
  </conditionalFormatting>
  <conditionalFormatting sqref="L108">
    <cfRule type="expression" dxfId="160" priority="29">
      <formula>#REF!="Benzick, Sue"</formula>
    </cfRule>
    <cfRule type="expression" dxfId="159" priority="30">
      <formula>#REF!="Jenne, Richard"</formula>
    </cfRule>
    <cfRule type="expression" dxfId="158" priority="31">
      <formula>#REF!="McQueen, Jennifer"</formula>
    </cfRule>
  </conditionalFormatting>
  <conditionalFormatting sqref="L178">
    <cfRule type="expression" dxfId="157" priority="811">
      <formula>#REF!="McQueen, Jennifer"</formula>
    </cfRule>
    <cfRule type="expression" dxfId="156" priority="810">
      <formula>#REF!="Jenne, Richard"</formula>
    </cfRule>
    <cfRule type="expression" dxfId="155" priority="809">
      <formula>#REF!="Benzick, Sue"</formula>
    </cfRule>
  </conditionalFormatting>
  <conditionalFormatting sqref="M4:M10">
    <cfRule type="expression" dxfId="154" priority="118">
      <formula>#REF!="McQueen, Jennifer"</formula>
    </cfRule>
    <cfRule type="expression" dxfId="153" priority="117">
      <formula>#REF!="Jenne, Richard"</formula>
    </cfRule>
    <cfRule type="expression" dxfId="152" priority="116">
      <formula>#REF!="Benzick, Sue"</formula>
    </cfRule>
  </conditionalFormatting>
  <conditionalFormatting sqref="M18:M20">
    <cfRule type="expression" dxfId="151" priority="114">
      <formula>#REF!="Jenne, Richard"</formula>
    </cfRule>
    <cfRule type="expression" dxfId="150" priority="113">
      <formula>#REF!="Benzick, Sue"</formula>
    </cfRule>
    <cfRule type="expression" dxfId="149" priority="115">
      <formula>#REF!="McQueen, Jennifer"</formula>
    </cfRule>
  </conditionalFormatting>
  <conditionalFormatting sqref="M28:M31">
    <cfRule type="expression" dxfId="148" priority="271">
      <formula>#REF!="McQueen, Jennifer"</formula>
    </cfRule>
    <cfRule type="expression" dxfId="147" priority="270">
      <formula>#REF!="Jenne, Richard"</formula>
    </cfRule>
    <cfRule type="expression" dxfId="146" priority="269">
      <formula>#REF!="Benzick, Sue"</formula>
    </cfRule>
  </conditionalFormatting>
  <conditionalFormatting sqref="M33 J34:K34 M34:N34">
    <cfRule type="expression" dxfId="145" priority="758">
      <formula>#REF!="Benzick, Sue"</formula>
    </cfRule>
    <cfRule type="expression" dxfId="144" priority="759">
      <formula>#REF!="Jenne, Richard"</formula>
    </cfRule>
    <cfRule type="expression" dxfId="143" priority="760">
      <formula>#REF!="McQueen, Jennifer"</formula>
    </cfRule>
  </conditionalFormatting>
  <conditionalFormatting sqref="M35">
    <cfRule type="expression" dxfId="142" priority="267">
      <formula>#REF!="Jenne, Richard"</formula>
    </cfRule>
    <cfRule type="expression" dxfId="141" priority="268">
      <formula>#REF!="McQueen, Jennifer"</formula>
    </cfRule>
    <cfRule type="expression" dxfId="140" priority="266">
      <formula>#REF!="Benzick, Sue"</formula>
    </cfRule>
  </conditionalFormatting>
  <conditionalFormatting sqref="M38:M45">
    <cfRule type="expression" dxfId="139" priority="43">
      <formula>#REF!="McQueen, Jennifer"</formula>
    </cfRule>
    <cfRule type="expression" dxfId="138" priority="41">
      <formula>#REF!="Benzick, Sue"</formula>
    </cfRule>
    <cfRule type="expression" dxfId="137" priority="42">
      <formula>#REF!="Jenne, Richard"</formula>
    </cfRule>
  </conditionalFormatting>
  <conditionalFormatting sqref="M47:M48">
    <cfRule type="expression" dxfId="136" priority="243">
      <formula>#REF!="Jenne, Richard"</formula>
    </cfRule>
    <cfRule type="expression" dxfId="135" priority="242">
      <formula>#REF!="Benzick, Sue"</formula>
    </cfRule>
    <cfRule type="expression" dxfId="134" priority="244">
      <formula>#REF!="McQueen, Jennifer"</formula>
    </cfRule>
  </conditionalFormatting>
  <conditionalFormatting sqref="M54:M55">
    <cfRule type="expression" dxfId="133" priority="309">
      <formula>#REF!="Jenne, Richard"</formula>
    </cfRule>
    <cfRule type="expression" dxfId="132" priority="308">
      <formula>#REF!="Benzick, Sue"</formula>
    </cfRule>
    <cfRule type="expression" dxfId="131" priority="310">
      <formula>#REF!="McQueen, Jennifer"</formula>
    </cfRule>
  </conditionalFormatting>
  <conditionalFormatting sqref="M57:M58">
    <cfRule type="expression" dxfId="130" priority="241">
      <formula>#REF!="McQueen, Jennifer"</formula>
    </cfRule>
    <cfRule type="expression" dxfId="129" priority="239">
      <formula>#REF!="Benzick, Sue"</formula>
    </cfRule>
    <cfRule type="expression" dxfId="128" priority="240">
      <formula>#REF!="Jenne, Richard"</formula>
    </cfRule>
  </conditionalFormatting>
  <conditionalFormatting sqref="M60:M62">
    <cfRule type="expression" dxfId="127" priority="105">
      <formula>#REF!="Jenne, Richard"</formula>
    </cfRule>
    <cfRule type="expression" dxfId="126" priority="104">
      <formula>#REF!="Benzick, Sue"</formula>
    </cfRule>
    <cfRule type="expression" dxfId="125" priority="106">
      <formula>#REF!="McQueen, Jennifer"</formula>
    </cfRule>
  </conditionalFormatting>
  <conditionalFormatting sqref="M70">
    <cfRule type="expression" dxfId="124" priority="127">
      <formula>$X70="McQueen, Jennifer"</formula>
    </cfRule>
    <cfRule type="expression" dxfId="123" priority="125">
      <formula>$X70="Benzick, Sue"</formula>
    </cfRule>
    <cfRule type="expression" dxfId="122" priority="126">
      <formula>$X70="Jenne, Richard"</formula>
    </cfRule>
  </conditionalFormatting>
  <conditionalFormatting sqref="M71:M73">
    <cfRule type="expression" dxfId="121" priority="59">
      <formula>#REF!="Benzick, Sue"</formula>
    </cfRule>
    <cfRule type="expression" dxfId="120" priority="61">
      <formula>#REF!="McQueen, Jennifer"</formula>
    </cfRule>
    <cfRule type="expression" dxfId="119" priority="60">
      <formula>#REF!="Jenne, Richard"</formula>
    </cfRule>
  </conditionalFormatting>
  <conditionalFormatting sqref="M75:M77">
    <cfRule type="expression" dxfId="118" priority="290">
      <formula>#REF!="Benzick, Sue"</formula>
    </cfRule>
    <cfRule type="expression" dxfId="117" priority="291">
      <formula>#REF!="Jenne, Richard"</formula>
    </cfRule>
    <cfRule type="expression" dxfId="116" priority="292">
      <formula>#REF!="McQueen, Jennifer"</formula>
    </cfRule>
  </conditionalFormatting>
  <conditionalFormatting sqref="M78">
    <cfRule type="expression" dxfId="115" priority="688">
      <formula>$X78="McQueen, Jennifer"</formula>
    </cfRule>
    <cfRule type="expression" dxfId="114" priority="687">
      <formula>$X78="Jenne, Richard"</formula>
    </cfRule>
    <cfRule type="expression" dxfId="113" priority="686">
      <formula>$X78="Benzick, Sue"</formula>
    </cfRule>
  </conditionalFormatting>
  <conditionalFormatting sqref="M81">
    <cfRule type="expression" dxfId="112" priority="289">
      <formula>#REF!="McQueen, Jennifer"</formula>
    </cfRule>
    <cfRule type="expression" dxfId="111" priority="287">
      <formula>#REF!="Benzick, Sue"</formula>
    </cfRule>
    <cfRule type="expression" dxfId="110" priority="288">
      <formula>#REF!="Jenne, Richard"</formula>
    </cfRule>
  </conditionalFormatting>
  <conditionalFormatting sqref="M83">
    <cfRule type="expression" dxfId="109" priority="98">
      <formula>#REF!="Benzick, Sue"</formula>
    </cfRule>
    <cfRule type="expression" dxfId="108" priority="99">
      <formula>#REF!="Jenne, Richard"</formula>
    </cfRule>
    <cfRule type="expression" dxfId="107" priority="100">
      <formula>#REF!="McQueen, Jennifer"</formula>
    </cfRule>
  </conditionalFormatting>
  <conditionalFormatting sqref="M85">
    <cfRule type="expression" dxfId="106" priority="238">
      <formula>#REF!="McQueen, Jennifer"</formula>
    </cfRule>
    <cfRule type="expression" dxfId="105" priority="236">
      <formula>#REF!="Benzick, Sue"</formula>
    </cfRule>
    <cfRule type="expression" dxfId="104" priority="237">
      <formula>#REF!="Jenne, Richard"</formula>
    </cfRule>
  </conditionalFormatting>
  <conditionalFormatting sqref="M87:M90">
    <cfRule type="expression" dxfId="103" priority="97">
      <formula>#REF!="McQueen, Jennifer"</formula>
    </cfRule>
    <cfRule type="expression" dxfId="102" priority="96">
      <formula>#REF!="Jenne, Richard"</formula>
    </cfRule>
    <cfRule type="expression" dxfId="101" priority="95">
      <formula>#REF!="Benzick, Sue"</formula>
    </cfRule>
  </conditionalFormatting>
  <conditionalFormatting sqref="M97:M99">
    <cfRule type="expression" dxfId="100" priority="227">
      <formula>#REF!="Benzick, Sue"</formula>
    </cfRule>
    <cfRule type="expression" dxfId="99" priority="228">
      <formula>#REF!="Jenne, Richard"</formula>
    </cfRule>
    <cfRule type="expression" dxfId="98" priority="229">
      <formula>#REF!="McQueen, Jennifer"</formula>
    </cfRule>
  </conditionalFormatting>
  <conditionalFormatting sqref="M101:M103">
    <cfRule type="expression" dxfId="97" priority="221">
      <formula>#REF!="Benzick, Sue"</formula>
    </cfRule>
    <cfRule type="expression" dxfId="96" priority="222">
      <formula>#REF!="Jenne, Richard"</formula>
    </cfRule>
    <cfRule type="expression" dxfId="95" priority="223">
      <formula>#REF!="McQueen, Jennifer"</formula>
    </cfRule>
  </conditionalFormatting>
  <conditionalFormatting sqref="M112:M113">
    <cfRule type="expression" dxfId="94" priority="136">
      <formula>#REF!="McQueen, Jennifer"</formula>
    </cfRule>
    <cfRule type="expression" dxfId="93" priority="134">
      <formula>#REF!="Benzick, Sue"</formula>
    </cfRule>
    <cfRule type="expression" dxfId="92" priority="135">
      <formula>#REF!="Jenne, Richard"</formula>
    </cfRule>
  </conditionalFormatting>
  <conditionalFormatting sqref="M115:M116">
    <cfRule type="expression" dxfId="91" priority="212">
      <formula>#REF!="Benzick, Sue"</formula>
    </cfRule>
    <cfRule type="expression" dxfId="90" priority="213">
      <formula>#REF!="Jenne, Richard"</formula>
    </cfRule>
    <cfRule type="expression" dxfId="89" priority="214">
      <formula>#REF!="McQueen, Jennifer"</formula>
    </cfRule>
  </conditionalFormatting>
  <conditionalFormatting sqref="M121">
    <cfRule type="expression" dxfId="88" priority="284">
      <formula>#REF!="Benzick, Sue"</formula>
    </cfRule>
    <cfRule type="expression" dxfId="87" priority="286">
      <formula>#REF!="McQueen, Jennifer"</formula>
    </cfRule>
    <cfRule type="expression" dxfId="86" priority="285">
      <formula>#REF!="Jenne, Richard"</formula>
    </cfRule>
  </conditionalFormatting>
  <conditionalFormatting sqref="M174">
    <cfRule type="expression" dxfId="85" priority="794">
      <formula>#REF!="Benzick, Sue"</formula>
    </cfRule>
    <cfRule type="expression" dxfId="84" priority="795">
      <formula>#REF!="Jenne, Richard"</formula>
    </cfRule>
    <cfRule type="expression" dxfId="83" priority="796">
      <formula>#REF!="McQueen, Jennifer"</formula>
    </cfRule>
  </conditionalFormatting>
  <conditionalFormatting sqref="M238">
    <cfRule type="expression" dxfId="82" priority="624">
      <formula>#REF!="Jenne, Richard"</formula>
    </cfRule>
    <cfRule type="expression" dxfId="81" priority="625">
      <formula>#REF!="McQueen, Jennifer"</formula>
    </cfRule>
    <cfRule type="expression" dxfId="80" priority="623">
      <formula>#REF!="Benzick, Sue"</formula>
    </cfRule>
  </conditionalFormatting>
  <conditionalFormatting sqref="M26:N27 K28:K29 N28:N29 K57:L58 N58 J59:N59 J60:L61 K62:L62 J63:N64 J399:N402">
    <cfRule type="expression" dxfId="79" priority="679">
      <formula>#REF!="McQueen, Jennifer"</formula>
    </cfRule>
    <cfRule type="expression" dxfId="78" priority="678">
      <formula>#REF!="Jenne, Richard"</formula>
    </cfRule>
    <cfRule type="expression" dxfId="77" priority="677">
      <formula>#REF!="Benzick, Sue"</formula>
    </cfRule>
  </conditionalFormatting>
  <conditionalFormatting sqref="N9:N10">
    <cfRule type="expression" dxfId="76" priority="149">
      <formula>#REF!="Benzick, Sue"</formula>
    </cfRule>
    <cfRule type="expression" dxfId="75" priority="150">
      <formula>#REF!="Jenne, Richard"</formula>
    </cfRule>
    <cfRule type="expression" dxfId="74" priority="151">
      <formula>#REF!="McQueen, Jennifer"</formula>
    </cfRule>
  </conditionalFormatting>
  <conditionalFormatting sqref="N18:N19">
    <cfRule type="expression" dxfId="73" priority="145">
      <formula>#REF!="McQueen, Jennifer"</formula>
    </cfRule>
    <cfRule type="expression" dxfId="72" priority="143">
      <formula>#REF!="Benzick, Sue"</formula>
    </cfRule>
    <cfRule type="expression" dxfId="71" priority="144">
      <formula>#REF!="Jenne, Richard"</formula>
    </cfRule>
  </conditionalFormatting>
  <conditionalFormatting sqref="N24">
    <cfRule type="expression" dxfId="70" priority="62">
      <formula>#REF!="Benzick, Sue"</formula>
    </cfRule>
    <cfRule type="expression" dxfId="69" priority="63">
      <formula>#REF!="Jenne, Richard"</formula>
    </cfRule>
    <cfRule type="expression" dxfId="68" priority="64">
      <formula>#REF!="McQueen, Jennifer"</formula>
    </cfRule>
  </conditionalFormatting>
  <conditionalFormatting sqref="N33">
    <cfRule type="expression" dxfId="67" priority="66">
      <formula>#REF!="Jenne, Richard"</formula>
    </cfRule>
    <cfRule type="expression" dxfId="66" priority="65">
      <formula>#REF!="Benzick, Sue"</formula>
    </cfRule>
    <cfRule type="expression" dxfId="65" priority="67">
      <formula>#REF!="McQueen, Jennifer"</formula>
    </cfRule>
  </conditionalFormatting>
  <conditionalFormatting sqref="N38">
    <cfRule type="expression" dxfId="64" priority="70">
      <formula>#REF!="McQueen, Jennifer"</formula>
    </cfRule>
    <cfRule type="expression" dxfId="63" priority="69">
      <formula>#REF!="Jenne, Richard"</formula>
    </cfRule>
    <cfRule type="expression" dxfId="62" priority="68">
      <formula>#REF!="Benzick, Sue"</formula>
    </cfRule>
  </conditionalFormatting>
  <conditionalFormatting sqref="N40:N44">
    <cfRule type="expression" dxfId="61" priority="71">
      <formula>#REF!="Benzick, Sue"</formula>
    </cfRule>
    <cfRule type="expression" dxfId="60" priority="72">
      <formula>#REF!="Jenne, Richard"</formula>
    </cfRule>
    <cfRule type="expression" dxfId="59" priority="73">
      <formula>#REF!="McQueen, Jennifer"</formula>
    </cfRule>
  </conditionalFormatting>
  <conditionalFormatting sqref="N51">
    <cfRule type="expression" dxfId="58" priority="47">
      <formula>#REF!="Benzick, Sue"</formula>
    </cfRule>
    <cfRule type="expression" dxfId="57" priority="49">
      <formula>#REF!="McQueen, Jennifer"</formula>
    </cfRule>
    <cfRule type="expression" dxfId="56" priority="48">
      <formula>#REF!="Jenne, Richard"</formula>
    </cfRule>
  </conditionalFormatting>
  <conditionalFormatting sqref="N54">
    <cfRule type="expression" dxfId="55" priority="52">
      <formula>#REF!="McQueen, Jennifer"</formula>
    </cfRule>
    <cfRule type="expression" dxfId="54" priority="51">
      <formula>#REF!="Jenne, Richard"</formula>
    </cfRule>
    <cfRule type="expression" dxfId="53" priority="50">
      <formula>#REF!="Benzick, Sue"</formula>
    </cfRule>
  </conditionalFormatting>
  <conditionalFormatting sqref="N60:N62">
    <cfRule type="expression" dxfId="52" priority="81">
      <formula>#REF!="Jenne, Richard"</formula>
    </cfRule>
    <cfRule type="expression" dxfId="51" priority="82">
      <formula>#REF!="McQueen, Jennifer"</formula>
    </cfRule>
    <cfRule type="expression" dxfId="50" priority="80">
      <formula>#REF!="Benzick, Sue"</formula>
    </cfRule>
  </conditionalFormatting>
  <conditionalFormatting sqref="N71:N73">
    <cfRule type="expression" dxfId="49" priority="56">
      <formula>#REF!="Benzick, Sue"</formula>
    </cfRule>
    <cfRule type="expression" dxfId="48" priority="57">
      <formula>#REF!="Jenne, Richard"</formula>
    </cfRule>
    <cfRule type="expression" dxfId="47" priority="58">
      <formula>#REF!="McQueen, Jennifer"</formula>
    </cfRule>
  </conditionalFormatting>
  <conditionalFormatting sqref="N78">
    <cfRule type="expression" dxfId="46" priority="684">
      <formula>$X78="Jenne, Richard"</formula>
    </cfRule>
    <cfRule type="expression" dxfId="45" priority="683">
      <formula>$X78="Benzick, Sue"</formula>
    </cfRule>
    <cfRule type="expression" dxfId="44" priority="685">
      <formula>$X78="McQueen, Jennifer"</formula>
    </cfRule>
  </conditionalFormatting>
  <conditionalFormatting sqref="N83">
    <cfRule type="expression" dxfId="43" priority="91">
      <formula>#REF!="McQueen, Jennifer"</formula>
    </cfRule>
    <cfRule type="expression" dxfId="42" priority="90">
      <formula>#REF!="Jenne, Richard"</formula>
    </cfRule>
    <cfRule type="expression" dxfId="41" priority="89">
      <formula>#REF!="Benzick, Sue"</formula>
    </cfRule>
  </conditionalFormatting>
  <conditionalFormatting sqref="N88">
    <cfRule type="expression" dxfId="40" priority="55">
      <formula>#REF!="McQueen, Jennifer"</formula>
    </cfRule>
    <cfRule type="expression" dxfId="39" priority="53">
      <formula>#REF!="Benzick, Sue"</formula>
    </cfRule>
    <cfRule type="expression" dxfId="38" priority="54">
      <formula>#REF!="Jenne, Richard"</formula>
    </cfRule>
  </conditionalFormatting>
  <conditionalFormatting sqref="N93">
    <cfRule type="expression" dxfId="37" priority="38">
      <formula>#REF!="Benzick, Sue"</formula>
    </cfRule>
    <cfRule type="expression" dxfId="36" priority="39">
      <formula>#REF!="Jenne, Richard"</formula>
    </cfRule>
    <cfRule type="expression" dxfId="35" priority="40">
      <formula>#REF!="McQueen, Jennifer"</formula>
    </cfRule>
  </conditionalFormatting>
  <conditionalFormatting sqref="N102">
    <cfRule type="expression" dxfId="34" priority="646">
      <formula>#REF!="McQueen, Jennifer"</formula>
    </cfRule>
    <cfRule type="expression" dxfId="33" priority="645">
      <formula>#REF!="Jenne, Richard"</formula>
    </cfRule>
    <cfRule type="expression" dxfId="32" priority="644">
      <formula>#REF!="Benzick, Sue"</formula>
    </cfRule>
    <cfRule type="expression" dxfId="31" priority="647">
      <formula>$X102="Benzick, Sue"</formula>
    </cfRule>
    <cfRule type="expression" dxfId="30" priority="648">
      <formula>$X102="Jenne, Richard"</formula>
    </cfRule>
    <cfRule type="expression" dxfId="29" priority="649">
      <formula>$X102="McQueen, Jennifer"</formula>
    </cfRule>
  </conditionalFormatting>
  <conditionalFormatting sqref="N112">
    <cfRule type="expression" dxfId="28" priority="137">
      <formula>#REF!="Benzick, Sue"</formula>
    </cfRule>
    <cfRule type="expression" dxfId="27" priority="138">
      <formula>#REF!="Jenne, Richard"</formula>
    </cfRule>
    <cfRule type="expression" dxfId="26" priority="139">
      <formula>#REF!="McQueen, Jennifer"</formula>
    </cfRule>
  </conditionalFormatting>
  <conditionalFormatting sqref="N238">
    <cfRule type="expression" dxfId="25" priority="628">
      <formula>$X238="McQueen, Jennifer"</formula>
    </cfRule>
    <cfRule type="expression" dxfId="24" priority="627">
      <formula>$X238="Jenne, Richard"</formula>
    </cfRule>
    <cfRule type="expression" dxfId="23" priority="626">
      <formula>$X238="Benzick, Sue"</formula>
    </cfRule>
  </conditionalFormatting>
  <conditionalFormatting sqref="X4:Y13">
    <cfRule type="expression" dxfId="22" priority="634">
      <formula>$X4="McQueen, Jennifer"</formula>
    </cfRule>
    <cfRule type="expression" dxfId="21" priority="633">
      <formula>$X4="Jenne, Richard"</formula>
    </cfRule>
    <cfRule type="expression" dxfId="20" priority="632">
      <formula>$X4="Benzick, Sue"</formula>
    </cfRule>
  </conditionalFormatting>
  <conditionalFormatting sqref="X40:Y45">
    <cfRule type="expression" dxfId="19" priority="830">
      <formula>$X40="Benzick, Sue"</formula>
    </cfRule>
    <cfRule type="expression" dxfId="18" priority="831">
      <formula>$X40="Jenne, Richard"</formula>
    </cfRule>
    <cfRule type="expression" dxfId="17" priority="832">
      <formula>$X40="McQueen, Jennifer"</formula>
    </cfRule>
  </conditionalFormatting>
  <conditionalFormatting sqref="X343:Y345">
    <cfRule type="expression" dxfId="16" priority="534">
      <formula>$X343="Jenne, Richard"</formula>
    </cfRule>
    <cfRule type="expression" dxfId="15" priority="533">
      <formula>$X343="Benzick, Sue"</formula>
    </cfRule>
    <cfRule type="expression" dxfId="14" priority="535">
      <formula>$X343="McQueen, Jennifer"</formula>
    </cfRule>
  </conditionalFormatting>
  <conditionalFormatting sqref="Y14">
    <cfRule type="expression" dxfId="13" priority="603">
      <formula>$X14="Jenne, Richard"</formula>
    </cfRule>
    <cfRule type="expression" dxfId="12" priority="602">
      <formula>$X14="Benzick, Sue"</formula>
    </cfRule>
    <cfRule type="expression" dxfId="11" priority="604">
      <formula>$X14="McQueen, Jennifer"</formula>
    </cfRule>
  </conditionalFormatting>
  <conditionalFormatting sqref="AB4:AB14 AD4:AD406 AB16:AB21 AB23:AB45 AB47:AB52 AB79 AB132">
    <cfRule type="expression" dxfId="10" priority="834">
      <formula>$AC4="Jenne, Richard"</formula>
    </cfRule>
    <cfRule type="expression" dxfId="9" priority="833">
      <formula>$AC4="Benzick, Sue"</formula>
    </cfRule>
    <cfRule type="expression" dxfId="8" priority="835">
      <formula>$AC4="McQueen, Jennifer"</formula>
    </cfRule>
  </conditionalFormatting>
  <conditionalFormatting sqref="AB54">
    <cfRule type="expression" dxfId="7" priority="601">
      <formula>$AC54="McQueen, Jennifer"</formula>
    </cfRule>
    <cfRule type="expression" dxfId="6" priority="600">
      <formula>$AC54="Jenne, Richard"</formula>
    </cfRule>
    <cfRule type="expression" dxfId="5" priority="599">
      <formula>$AC54="Benzick, Sue"</formula>
    </cfRule>
  </conditionalFormatting>
  <conditionalFormatting sqref="AB240:AB242">
    <cfRule type="expression" dxfId="4" priority="899">
      <formula>$AD240="Benzick, Sue"</formula>
    </cfRule>
    <cfRule type="expression" dxfId="3" priority="900">
      <formula>$AD240="Jenne, Richard"</formula>
    </cfRule>
    <cfRule type="expression" dxfId="2" priority="901">
      <formula>$AD240="McQueen, Jennifer"</formula>
    </cfRule>
  </conditionalFormatting>
  <dataValidations disablePrompts="1" count="3">
    <dataValidation type="list" allowBlank="1" showInputMessage="1" showErrorMessage="1" sqref="B543:B813 B535 A536 B537:B541 B4:B533" xr:uid="{200FED7A-2BC5-4543-B46D-EB32DB279385}">
      <formula1>Class</formula1>
    </dataValidation>
    <dataValidation type="list" allowBlank="1" showInputMessage="1" showErrorMessage="1" sqref="A76:A78 A80" xr:uid="{F327643D-9C36-4339-9A1D-513485934C80}">
      <formula1>Location</formula1>
    </dataValidation>
    <dataValidation allowBlank="1" showInputMessage="1" showErrorMessage="1" sqref="Y148:AB148 Y46:AB46 Y15:AB15 Y134:AB134 Y141:AB141 Y202:AB202 Y236:AB236 Y256:AB257 Y259:AB259 Y346:AB346 X375:AB375 X88:X148 X4:X86 X150:X373" xr:uid="{ED4AD39B-C783-4960-8982-3BB525E4EE46}"/>
  </dataValidations>
  <printOptions horizontalCentered="1" verticalCentered="1"/>
  <pageMargins left="0.7" right="0.7" top="0.75" bottom="0.75" header="0.3" footer="0.3"/>
  <pageSetup scale="7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3D96C2E9-D26B-4448-9DD1-C886A0E7507E}">
          <x14:formula1>
            <xm:f>'TSD-Data'!$G$2:$G$40</xm:f>
          </x14:formula1>
          <xm:sqref>O535:O757 O4:P533</xm:sqref>
        </x14:dataValidation>
        <x14:dataValidation type="list" allowBlank="1" showInputMessage="1" showErrorMessage="1" xr:uid="{2F44F4D6-1EF2-4A82-9A4B-D11E22B362B1}">
          <x14:formula1>
            <xm:f>'TSD-Data'!$K$2:$K$125</xm:f>
          </x14:formula1>
          <xm:sqref>E535:E998</xm:sqref>
        </x14:dataValidation>
        <x14:dataValidation type="list" allowBlank="1" showInputMessage="1" showErrorMessage="1" xr:uid="{21A8CB0A-0701-49FB-9231-461E2A3D61EF}">
          <x14:formula1>
            <xm:f>'TSD-Data'!$K$2:$K$102</xm:f>
          </x14:formula1>
          <xm:sqref>E4:E533</xm:sqref>
        </x14:dataValidation>
        <x14:dataValidation type="list" allowBlank="1" showInputMessage="1" showErrorMessage="1" xr:uid="{E8739DE3-1DDB-4BFA-A4BF-6F762D6DE875}">
          <x14:formula1>
            <xm:f>'TSD-Data'!$M$2:$M$10</xm:f>
          </x14:formula1>
          <xm:sqref>AC4:AC533</xm:sqref>
        </x14:dataValidation>
        <x14:dataValidation type="list" allowBlank="1" showInputMessage="1" showErrorMessage="1" xr:uid="{8D2A897B-76C7-4C0C-AEE5-BE307534D234}">
          <x14:formula1>
            <xm:f>'TSD-Data'!$P$2:$P$8</xm:f>
          </x14:formula1>
          <xm:sqref>Q4:Q533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E58D6-48C8-49A0-8C66-036719BCE7C6}">
  <sheetPr>
    <tabColor theme="7" tint="0.39997558519241921"/>
    <pageSetUpPr fitToPage="1"/>
  </sheetPr>
  <dimension ref="A1:AO58"/>
  <sheetViews>
    <sheetView zoomScale="80" zoomScaleNormal="80" workbookViewId="0">
      <pane xSplit="4" ySplit="1" topLeftCell="G18" activePane="bottomRight" state="frozen"/>
      <selection pane="topRight" activeCell="E1" sqref="E1"/>
      <selection pane="bottomLeft" activeCell="A2" sqref="A2"/>
      <selection pane="bottomRight" activeCell="G18" sqref="G18"/>
    </sheetView>
  </sheetViews>
  <sheetFormatPr defaultColWidth="7.7109375" defaultRowHeight="15" x14ac:dyDescent="0.25"/>
  <cols>
    <col min="1" max="1" width="24.28515625" style="14" customWidth="1"/>
    <col min="2" max="2" width="7.7109375" style="14" bestFit="1" customWidth="1"/>
    <col min="3" max="4" width="11" style="14" customWidth="1"/>
    <col min="5" max="7" width="7.7109375" style="14" bestFit="1" customWidth="1"/>
    <col min="8" max="9" width="10.28515625" style="14" customWidth="1"/>
    <col min="10" max="10" width="7.7109375" style="14" bestFit="1" customWidth="1"/>
    <col min="11" max="12" width="7.7109375" style="14" customWidth="1"/>
    <col min="13" max="13" width="7.7109375" style="14" bestFit="1" customWidth="1"/>
    <col min="14" max="14" width="10.28515625" style="14" customWidth="1"/>
    <col min="15" max="16" width="7.7109375" style="14" hidden="1" customWidth="1"/>
    <col min="17" max="17" width="2.28515625" style="14" customWidth="1"/>
    <col min="18" max="19" width="7.7109375" style="14" customWidth="1"/>
    <col min="20" max="20" width="7.7109375" style="249" customWidth="1"/>
    <col min="21" max="21" width="7.7109375" style="14" customWidth="1"/>
    <col min="22" max="22" width="9.42578125" style="14" customWidth="1"/>
    <col min="23" max="23" width="9.85546875" style="14" customWidth="1"/>
    <col min="24" max="24" width="8.7109375" style="14" customWidth="1"/>
    <col min="25" max="25" width="2.5703125" style="14" customWidth="1"/>
    <col min="26" max="26" width="7.7109375" style="14" customWidth="1"/>
    <col min="27" max="27" width="9.85546875" style="14" customWidth="1"/>
    <col min="28" max="28" width="9.5703125" style="14" customWidth="1"/>
    <col min="29" max="29" width="8" style="14" customWidth="1"/>
    <col min="30" max="31" width="9.7109375" style="14" customWidth="1"/>
    <col min="32" max="32" width="8.7109375" style="14" customWidth="1"/>
    <col min="33" max="33" width="2.5703125" style="14" customWidth="1"/>
    <col min="34" max="34" width="7.7109375" style="290"/>
    <col min="35" max="35" width="7.7109375" style="290" customWidth="1"/>
    <col min="36" max="37" width="7.7109375" style="14"/>
    <col min="38" max="38" width="9" style="14" customWidth="1"/>
    <col min="39" max="39" width="15.7109375" style="14" customWidth="1"/>
    <col min="40" max="40" width="11.42578125" style="14" customWidth="1"/>
    <col min="41" max="41" width="26.5703125" style="14" customWidth="1"/>
    <col min="42" max="16384" width="7.7109375" style="14"/>
  </cols>
  <sheetData>
    <row r="1" spans="1:41" ht="87.75" customHeight="1" x14ac:dyDescent="0.25">
      <c r="A1" s="310" t="s">
        <v>71</v>
      </c>
      <c r="B1" s="311" t="s">
        <v>4</v>
      </c>
      <c r="C1" s="311" t="s">
        <v>72</v>
      </c>
      <c r="D1" s="312" t="s">
        <v>73</v>
      </c>
      <c r="E1" s="312" t="s">
        <v>74</v>
      </c>
      <c r="F1" s="312" t="s">
        <v>75</v>
      </c>
      <c r="G1" s="312" t="s">
        <v>76</v>
      </c>
      <c r="H1" s="312" t="s">
        <v>77</v>
      </c>
      <c r="I1" s="313" t="s">
        <v>78</v>
      </c>
      <c r="J1" s="314" t="s">
        <v>79</v>
      </c>
      <c r="K1" s="314" t="s">
        <v>81</v>
      </c>
      <c r="L1" s="314" t="s">
        <v>82</v>
      </c>
      <c r="M1" s="314" t="s">
        <v>83</v>
      </c>
      <c r="N1" s="314" t="s">
        <v>84</v>
      </c>
      <c r="O1" s="315" t="s">
        <v>548</v>
      </c>
      <c r="P1" s="316" t="s">
        <v>549</v>
      </c>
      <c r="Q1" s="317" t="s">
        <v>550</v>
      </c>
      <c r="R1" s="318" t="s">
        <v>551</v>
      </c>
      <c r="S1" s="319" t="s">
        <v>552</v>
      </c>
      <c r="T1" s="320" t="s">
        <v>553</v>
      </c>
      <c r="U1" s="318" t="s">
        <v>554</v>
      </c>
      <c r="V1" s="318" t="s">
        <v>555</v>
      </c>
      <c r="W1" s="319" t="s">
        <v>556</v>
      </c>
      <c r="X1" s="319" t="s">
        <v>557</v>
      </c>
      <c r="Y1" s="317" t="s">
        <v>558</v>
      </c>
      <c r="Z1" s="321" t="s">
        <v>559</v>
      </c>
      <c r="AA1" s="322" t="s">
        <v>560</v>
      </c>
      <c r="AB1" s="321" t="s">
        <v>561</v>
      </c>
      <c r="AC1" s="321" t="s">
        <v>562</v>
      </c>
      <c r="AD1" s="321" t="s">
        <v>563</v>
      </c>
      <c r="AE1" s="322" t="s">
        <v>564</v>
      </c>
      <c r="AF1" s="322" t="s">
        <v>565</v>
      </c>
      <c r="AG1" s="317" t="s">
        <v>566</v>
      </c>
      <c r="AH1" s="323" t="s">
        <v>567</v>
      </c>
      <c r="AI1" s="324" t="s">
        <v>568</v>
      </c>
      <c r="AJ1" s="325" t="s">
        <v>569</v>
      </c>
      <c r="AK1" s="325" t="s">
        <v>570</v>
      </c>
      <c r="AL1" s="325" t="s">
        <v>571</v>
      </c>
      <c r="AM1" s="326" t="s">
        <v>572</v>
      </c>
      <c r="AN1" s="326" t="s">
        <v>573</v>
      </c>
      <c r="AO1" s="327" t="s">
        <v>574</v>
      </c>
    </row>
    <row r="2" spans="1:41" s="249" customFormat="1" ht="30" x14ac:dyDescent="0.25">
      <c r="A2" s="252" t="s">
        <v>17</v>
      </c>
      <c r="B2" s="228" t="s">
        <v>85</v>
      </c>
      <c r="C2" s="250" t="s">
        <v>7</v>
      </c>
      <c r="D2" s="229" t="s">
        <v>112</v>
      </c>
      <c r="E2" s="229">
        <v>3682</v>
      </c>
      <c r="F2" s="230">
        <v>661</v>
      </c>
      <c r="G2" s="231">
        <v>40</v>
      </c>
      <c r="H2" s="232">
        <f t="shared" ref="H2:H40" si="0">F2/G2</f>
        <v>16.524999999999999</v>
      </c>
      <c r="I2" s="233">
        <f t="shared" ref="I2:I40" si="1">ROUNDUP(H2,0)</f>
        <v>17</v>
      </c>
      <c r="J2" s="234">
        <v>23</v>
      </c>
      <c r="K2" s="234">
        <v>40</v>
      </c>
      <c r="L2" s="234">
        <f t="shared" ref="L2:L37" si="2">SUM(K2*J2)</f>
        <v>920</v>
      </c>
      <c r="M2" s="230">
        <f t="shared" ref="M2:M40" si="3">SUM(J2-I2)</f>
        <v>6</v>
      </c>
      <c r="N2" s="235">
        <f>SUM(J2*G2/F2)</f>
        <v>1.3918305597579426</v>
      </c>
      <c r="O2" s="236">
        <v>571</v>
      </c>
      <c r="P2" s="237">
        <v>15</v>
      </c>
      <c r="Q2" s="238"/>
      <c r="R2" s="239">
        <v>20</v>
      </c>
      <c r="S2" s="240">
        <v>40</v>
      </c>
      <c r="T2" s="308">
        <v>520</v>
      </c>
      <c r="U2" s="306">
        <v>35</v>
      </c>
      <c r="V2" s="242">
        <f t="shared" ref="V2:V37" si="4">AVERAGE(T2+U2)/R2</f>
        <v>27.75</v>
      </c>
      <c r="W2" s="241">
        <v>573</v>
      </c>
      <c r="X2" s="235">
        <f t="shared" ref="X2:X37" si="5">SUM(T2+U2)/W2</f>
        <v>0.96858638743455494</v>
      </c>
      <c r="Y2" s="238"/>
      <c r="Z2" s="239">
        <v>23</v>
      </c>
      <c r="AA2" s="240">
        <v>40</v>
      </c>
      <c r="AB2" s="231">
        <v>610</v>
      </c>
      <c r="AC2" s="231">
        <v>3</v>
      </c>
      <c r="AD2" s="243">
        <f t="shared" ref="AD2:AD37" si="6">AVERAGE(AB2+AC2)/Z2</f>
        <v>26.652173913043477</v>
      </c>
      <c r="AE2" s="241">
        <v>760</v>
      </c>
      <c r="AF2" s="235">
        <f t="shared" ref="AF2:AF37" si="7">SUM(AB2+AC2)/AE2</f>
        <v>0.80657894736842106</v>
      </c>
      <c r="AG2" s="244"/>
      <c r="AH2" s="245"/>
      <c r="AI2" s="245"/>
      <c r="AJ2" s="246"/>
      <c r="AK2" s="246"/>
      <c r="AL2" s="247"/>
      <c r="AM2" s="248"/>
      <c r="AN2" s="235"/>
      <c r="AO2" s="330" t="s">
        <v>17</v>
      </c>
    </row>
    <row r="3" spans="1:41" s="249" customFormat="1" ht="30" x14ac:dyDescent="0.25">
      <c r="A3" s="252" t="s">
        <v>28</v>
      </c>
      <c r="B3" s="228" t="s">
        <v>85</v>
      </c>
      <c r="C3" s="250" t="s">
        <v>7</v>
      </c>
      <c r="D3" s="229" t="s">
        <v>113</v>
      </c>
      <c r="E3" s="229">
        <v>3683</v>
      </c>
      <c r="F3" s="230">
        <v>787</v>
      </c>
      <c r="G3" s="231">
        <v>40</v>
      </c>
      <c r="H3" s="232">
        <f t="shared" si="0"/>
        <v>19.675000000000001</v>
      </c>
      <c r="I3" s="233">
        <f t="shared" si="1"/>
        <v>20</v>
      </c>
      <c r="J3" s="234">
        <v>22</v>
      </c>
      <c r="K3" s="234">
        <v>24</v>
      </c>
      <c r="L3" s="234">
        <f t="shared" si="2"/>
        <v>528</v>
      </c>
      <c r="M3" s="230">
        <f t="shared" si="3"/>
        <v>2</v>
      </c>
      <c r="N3" s="235">
        <f t="shared" ref="N3:N40" si="8">SUM(J3*G3/F3)</f>
        <v>1.1181702668360864</v>
      </c>
      <c r="O3" s="236">
        <v>381</v>
      </c>
      <c r="P3" s="237">
        <v>10</v>
      </c>
      <c r="Q3" s="238"/>
      <c r="R3" s="239">
        <v>23</v>
      </c>
      <c r="S3" s="240">
        <v>40</v>
      </c>
      <c r="T3" s="307">
        <v>401</v>
      </c>
      <c r="U3" s="306">
        <v>19</v>
      </c>
      <c r="V3" s="242">
        <f t="shared" si="4"/>
        <v>18.260869565217391</v>
      </c>
      <c r="W3" s="241">
        <v>473</v>
      </c>
      <c r="X3" s="235">
        <f t="shared" si="5"/>
        <v>0.88794926004228325</v>
      </c>
      <c r="Y3" s="238"/>
      <c r="Z3" s="239">
        <v>25</v>
      </c>
      <c r="AA3" s="240">
        <v>40</v>
      </c>
      <c r="AB3" s="231">
        <v>469</v>
      </c>
      <c r="AC3" s="231">
        <v>15</v>
      </c>
      <c r="AD3" s="243">
        <f t="shared" si="6"/>
        <v>19.36</v>
      </c>
      <c r="AE3" s="241">
        <v>1000</v>
      </c>
      <c r="AF3" s="235">
        <f t="shared" si="7"/>
        <v>0.48399999999999999</v>
      </c>
      <c r="AG3" s="244"/>
      <c r="AH3" s="245"/>
      <c r="AI3" s="245"/>
      <c r="AJ3" s="246"/>
      <c r="AK3" s="246"/>
      <c r="AL3" s="247"/>
      <c r="AM3" s="248"/>
      <c r="AN3" s="235"/>
      <c r="AO3" s="331" t="s">
        <v>28</v>
      </c>
    </row>
    <row r="4" spans="1:41" s="249" customFormat="1" ht="30" x14ac:dyDescent="0.25">
      <c r="A4" s="227" t="s">
        <v>575</v>
      </c>
      <c r="B4" s="228" t="s">
        <v>100</v>
      </c>
      <c r="C4" s="228" t="s">
        <v>86</v>
      </c>
      <c r="D4" s="229" t="s">
        <v>152</v>
      </c>
      <c r="E4" s="229" t="s">
        <v>153</v>
      </c>
      <c r="F4" s="230">
        <v>92</v>
      </c>
      <c r="G4" s="231">
        <v>25</v>
      </c>
      <c r="H4" s="232">
        <f t="shared" si="0"/>
        <v>3.68</v>
      </c>
      <c r="I4" s="233">
        <f t="shared" si="1"/>
        <v>4</v>
      </c>
      <c r="J4" s="234">
        <v>4</v>
      </c>
      <c r="K4" s="234">
        <v>16</v>
      </c>
      <c r="L4" s="234">
        <f t="shared" si="2"/>
        <v>64</v>
      </c>
      <c r="M4" s="230">
        <f t="shared" si="3"/>
        <v>0</v>
      </c>
      <c r="N4" s="235">
        <f t="shared" si="8"/>
        <v>1.0869565217391304</v>
      </c>
      <c r="O4" s="236">
        <v>61</v>
      </c>
      <c r="P4" s="237">
        <v>3</v>
      </c>
      <c r="Q4" s="238"/>
      <c r="R4" s="239">
        <v>4</v>
      </c>
      <c r="S4" s="240">
        <v>25</v>
      </c>
      <c r="T4" s="333">
        <v>39</v>
      </c>
      <c r="U4" s="306">
        <v>1</v>
      </c>
      <c r="V4" s="242">
        <f t="shared" si="4"/>
        <v>10</v>
      </c>
      <c r="W4" s="241">
        <v>58</v>
      </c>
      <c r="X4" s="235">
        <f t="shared" si="5"/>
        <v>0.68965517241379315</v>
      </c>
      <c r="Y4" s="238"/>
      <c r="Z4" s="239">
        <v>4</v>
      </c>
      <c r="AA4" s="240">
        <v>25</v>
      </c>
      <c r="AB4" s="231">
        <v>54</v>
      </c>
      <c r="AC4" s="231">
        <v>2</v>
      </c>
      <c r="AD4" s="243">
        <f t="shared" si="6"/>
        <v>14</v>
      </c>
      <c r="AE4" s="259">
        <v>86</v>
      </c>
      <c r="AF4" s="235">
        <f t="shared" si="7"/>
        <v>0.65116279069767447</v>
      </c>
      <c r="AG4" s="244"/>
      <c r="AH4" s="245">
        <v>5</v>
      </c>
      <c r="AI4" s="245">
        <v>30</v>
      </c>
      <c r="AJ4" s="246">
        <v>32</v>
      </c>
      <c r="AK4" s="246">
        <v>0</v>
      </c>
      <c r="AL4" s="247">
        <f>(Table1[[#This Row],[FY22 Grads]]+Table1[[#This Row],[FY22 Fails]])/Table1[[#This Row],[FY22 Total Courses]]</f>
        <v>6.4</v>
      </c>
      <c r="AM4" s="248">
        <v>19</v>
      </c>
      <c r="AN4" s="256">
        <f t="shared" ref="AN4:AN13" si="9">SUM(AJ4+AK4)/AM4</f>
        <v>1.6842105263157894</v>
      </c>
      <c r="AO4" s="331" t="s">
        <v>575</v>
      </c>
    </row>
    <row r="5" spans="1:41" s="249" customFormat="1" ht="45" x14ac:dyDescent="0.25">
      <c r="A5" s="227" t="s">
        <v>576</v>
      </c>
      <c r="B5" s="228" t="s">
        <v>85</v>
      </c>
      <c r="C5" s="228" t="s">
        <v>86</v>
      </c>
      <c r="D5" s="229" t="s">
        <v>87</v>
      </c>
      <c r="E5" s="229" t="s">
        <v>88</v>
      </c>
      <c r="F5" s="230">
        <v>337</v>
      </c>
      <c r="G5" s="231">
        <v>45</v>
      </c>
      <c r="H5" s="232">
        <f t="shared" si="0"/>
        <v>7.4888888888888889</v>
      </c>
      <c r="I5" s="233">
        <f t="shared" si="1"/>
        <v>8</v>
      </c>
      <c r="J5" s="234">
        <v>8</v>
      </c>
      <c r="K5" s="234">
        <v>16</v>
      </c>
      <c r="L5" s="234">
        <f t="shared" si="2"/>
        <v>128</v>
      </c>
      <c r="M5" s="230">
        <f t="shared" si="3"/>
        <v>0</v>
      </c>
      <c r="N5" s="235">
        <f t="shared" si="8"/>
        <v>1.0682492581602374</v>
      </c>
      <c r="O5" s="236">
        <v>456</v>
      </c>
      <c r="P5" s="237">
        <v>23</v>
      </c>
      <c r="Q5" s="238"/>
      <c r="R5" s="239">
        <v>10</v>
      </c>
      <c r="S5" s="240">
        <v>45</v>
      </c>
      <c r="T5" s="308">
        <v>191</v>
      </c>
      <c r="U5" s="306">
        <v>2</v>
      </c>
      <c r="V5" s="242">
        <f t="shared" si="4"/>
        <v>19.3</v>
      </c>
      <c r="W5" s="241">
        <v>340</v>
      </c>
      <c r="X5" s="235">
        <f t="shared" si="5"/>
        <v>0.56764705882352939</v>
      </c>
      <c r="Y5" s="238"/>
      <c r="Z5" s="239">
        <v>11</v>
      </c>
      <c r="AA5" s="240">
        <v>20</v>
      </c>
      <c r="AB5" s="231">
        <v>204</v>
      </c>
      <c r="AC5" s="231">
        <v>8</v>
      </c>
      <c r="AD5" s="243">
        <f t="shared" si="6"/>
        <v>19.272727272727273</v>
      </c>
      <c r="AE5" s="241">
        <v>220</v>
      </c>
      <c r="AF5" s="235">
        <f t="shared" si="7"/>
        <v>0.96363636363636362</v>
      </c>
      <c r="AG5" s="244"/>
      <c r="AH5" s="245">
        <v>19</v>
      </c>
      <c r="AI5" s="245">
        <v>30</v>
      </c>
      <c r="AJ5" s="246">
        <v>209</v>
      </c>
      <c r="AK5" s="246">
        <v>0</v>
      </c>
      <c r="AL5" s="247">
        <f>(Table1[[#This Row],[FY22 Grads]]+Table1[[#This Row],[FY22 Fails]])/Table1[[#This Row],[FY22 Total Courses]]</f>
        <v>11</v>
      </c>
      <c r="AM5" s="248">
        <v>570</v>
      </c>
      <c r="AN5" s="235">
        <f t="shared" si="9"/>
        <v>0.36666666666666664</v>
      </c>
      <c r="AO5" s="331" t="s">
        <v>576</v>
      </c>
    </row>
    <row r="6" spans="1:41" s="249" customFormat="1" ht="30" x14ac:dyDescent="0.25">
      <c r="A6" s="227" t="s">
        <v>577</v>
      </c>
      <c r="B6" s="228" t="s">
        <v>100</v>
      </c>
      <c r="C6" s="228" t="s">
        <v>86</v>
      </c>
      <c r="D6" s="229" t="s">
        <v>101</v>
      </c>
      <c r="E6" s="229" t="s">
        <v>102</v>
      </c>
      <c r="F6" s="230">
        <v>464</v>
      </c>
      <c r="G6" s="231">
        <v>45</v>
      </c>
      <c r="H6" s="232">
        <f t="shared" si="0"/>
        <v>10.311111111111112</v>
      </c>
      <c r="I6" s="233">
        <f t="shared" si="1"/>
        <v>11</v>
      </c>
      <c r="J6" s="234">
        <v>11</v>
      </c>
      <c r="K6" s="234">
        <v>24</v>
      </c>
      <c r="L6" s="234">
        <f t="shared" si="2"/>
        <v>264</v>
      </c>
      <c r="M6" s="230">
        <f t="shared" si="3"/>
        <v>0</v>
      </c>
      <c r="N6" s="235">
        <f t="shared" si="8"/>
        <v>1.0668103448275863</v>
      </c>
      <c r="O6" s="236">
        <v>465</v>
      </c>
      <c r="P6" s="237">
        <v>16</v>
      </c>
      <c r="Q6" s="238"/>
      <c r="R6" s="239">
        <v>10</v>
      </c>
      <c r="S6" s="240">
        <v>45</v>
      </c>
      <c r="T6" s="308">
        <v>262</v>
      </c>
      <c r="U6" s="306">
        <v>11</v>
      </c>
      <c r="V6" s="242">
        <f t="shared" si="4"/>
        <v>27.3</v>
      </c>
      <c r="W6" s="241">
        <v>406</v>
      </c>
      <c r="X6" s="235">
        <f t="shared" si="5"/>
        <v>0.67241379310344829</v>
      </c>
      <c r="Y6" s="238"/>
      <c r="Z6" s="239">
        <v>17</v>
      </c>
      <c r="AA6" s="240">
        <v>30</v>
      </c>
      <c r="AB6" s="231">
        <v>284</v>
      </c>
      <c r="AC6" s="231">
        <v>10</v>
      </c>
      <c r="AD6" s="243">
        <f t="shared" si="6"/>
        <v>17.294117647058822</v>
      </c>
      <c r="AE6" s="241">
        <f>228+261</f>
        <v>489</v>
      </c>
      <c r="AF6" s="235">
        <f t="shared" si="7"/>
        <v>0.60122699386503065</v>
      </c>
      <c r="AG6" s="244"/>
      <c r="AH6" s="245">
        <v>10</v>
      </c>
      <c r="AI6" s="245">
        <v>30</v>
      </c>
      <c r="AJ6" s="246">
        <v>249</v>
      </c>
      <c r="AK6" s="246">
        <v>4</v>
      </c>
      <c r="AL6" s="247">
        <f>(Table1[[#This Row],[FY22 Grads]]+Table1[[#This Row],[FY22 Fails]])/Table1[[#This Row],[FY22 Total Courses]]</f>
        <v>25.3</v>
      </c>
      <c r="AM6" s="248">
        <v>352</v>
      </c>
      <c r="AN6" s="235">
        <f t="shared" si="9"/>
        <v>0.71875</v>
      </c>
      <c r="AO6" s="331" t="s">
        <v>577</v>
      </c>
    </row>
    <row r="7" spans="1:41" s="249" customFormat="1" ht="30" x14ac:dyDescent="0.25">
      <c r="A7" s="227" t="s">
        <v>578</v>
      </c>
      <c r="B7" s="228" t="s">
        <v>100</v>
      </c>
      <c r="C7" s="228" t="s">
        <v>86</v>
      </c>
      <c r="D7" s="229" t="s">
        <v>150</v>
      </c>
      <c r="E7" s="229" t="s">
        <v>151</v>
      </c>
      <c r="F7" s="230">
        <v>1601</v>
      </c>
      <c r="G7" s="231">
        <v>100</v>
      </c>
      <c r="H7" s="232">
        <f t="shared" si="0"/>
        <v>16.010000000000002</v>
      </c>
      <c r="I7" s="233">
        <f t="shared" si="1"/>
        <v>17</v>
      </c>
      <c r="J7" s="234">
        <v>17</v>
      </c>
      <c r="K7" s="234">
        <v>16</v>
      </c>
      <c r="L7" s="234">
        <f t="shared" si="2"/>
        <v>272</v>
      </c>
      <c r="M7" s="230">
        <f t="shared" si="3"/>
        <v>0</v>
      </c>
      <c r="N7" s="235">
        <f t="shared" si="8"/>
        <v>1.0618363522798251</v>
      </c>
      <c r="O7" s="236">
        <v>2718</v>
      </c>
      <c r="P7" s="237">
        <v>28</v>
      </c>
      <c r="Q7" s="238"/>
      <c r="R7" s="239">
        <v>17</v>
      </c>
      <c r="S7" s="240">
        <v>100</v>
      </c>
      <c r="T7" s="307">
        <v>1335</v>
      </c>
      <c r="U7" s="306">
        <v>37</v>
      </c>
      <c r="V7" s="242">
        <f t="shared" si="4"/>
        <v>80.705882352941174</v>
      </c>
      <c r="W7" s="241">
        <v>1499</v>
      </c>
      <c r="X7" s="235">
        <f t="shared" si="5"/>
        <v>0.91527685123415614</v>
      </c>
      <c r="Y7" s="238"/>
      <c r="Z7" s="239">
        <v>24</v>
      </c>
      <c r="AA7" s="240">
        <v>100</v>
      </c>
      <c r="AB7" s="231">
        <v>1538</v>
      </c>
      <c r="AC7" s="231">
        <v>88</v>
      </c>
      <c r="AD7" s="243">
        <f t="shared" si="6"/>
        <v>67.75</v>
      </c>
      <c r="AE7" s="259">
        <v>1665</v>
      </c>
      <c r="AF7" s="235">
        <f t="shared" si="7"/>
        <v>0.97657657657657659</v>
      </c>
      <c r="AG7" s="244"/>
      <c r="AH7" s="245">
        <v>21</v>
      </c>
      <c r="AI7" s="245">
        <v>100</v>
      </c>
      <c r="AJ7" s="246">
        <v>1584</v>
      </c>
      <c r="AK7" s="246">
        <v>89</v>
      </c>
      <c r="AL7" s="247">
        <f>(Table1[[#This Row],[FY22 Grads]]+Table1[[#This Row],[FY22 Fails]])/Table1[[#This Row],[FY22 Total Courses]]</f>
        <v>79.666666666666671</v>
      </c>
      <c r="AM7" s="248">
        <v>604</v>
      </c>
      <c r="AN7" s="256">
        <f t="shared" si="9"/>
        <v>2.7698675496688741</v>
      </c>
      <c r="AO7" s="331" t="s">
        <v>578</v>
      </c>
    </row>
    <row r="8" spans="1:41" s="249" customFormat="1" ht="30" x14ac:dyDescent="0.25">
      <c r="A8" s="227" t="s">
        <v>579</v>
      </c>
      <c r="B8" s="228" t="s">
        <v>103</v>
      </c>
      <c r="C8" s="228" t="s">
        <v>86</v>
      </c>
      <c r="D8" s="229" t="s">
        <v>118</v>
      </c>
      <c r="E8" s="229" t="s">
        <v>119</v>
      </c>
      <c r="F8" s="230">
        <v>721</v>
      </c>
      <c r="G8" s="231">
        <v>45</v>
      </c>
      <c r="H8" s="232">
        <f t="shared" si="0"/>
        <v>16.022222222222222</v>
      </c>
      <c r="I8" s="233">
        <f t="shared" si="1"/>
        <v>17</v>
      </c>
      <c r="J8" s="234">
        <v>17</v>
      </c>
      <c r="K8" s="234">
        <v>30</v>
      </c>
      <c r="L8" s="234">
        <f t="shared" si="2"/>
        <v>510</v>
      </c>
      <c r="M8" s="230">
        <f t="shared" si="3"/>
        <v>0</v>
      </c>
      <c r="N8" s="235">
        <f t="shared" si="8"/>
        <v>1.0610263522884882</v>
      </c>
      <c r="O8" s="236">
        <v>702</v>
      </c>
      <c r="P8" s="237">
        <v>24</v>
      </c>
      <c r="Q8" s="238"/>
      <c r="R8" s="239">
        <v>17</v>
      </c>
      <c r="S8" s="240">
        <v>45</v>
      </c>
      <c r="T8" s="308">
        <v>402</v>
      </c>
      <c r="U8" s="306">
        <v>3</v>
      </c>
      <c r="V8" s="242">
        <f t="shared" si="4"/>
        <v>23.823529411764707</v>
      </c>
      <c r="W8" s="241">
        <v>762</v>
      </c>
      <c r="X8" s="235">
        <f t="shared" si="5"/>
        <v>0.53149606299212604</v>
      </c>
      <c r="Y8" s="238"/>
      <c r="Z8" s="239">
        <v>12</v>
      </c>
      <c r="AA8" s="240">
        <v>30</v>
      </c>
      <c r="AB8" s="231">
        <v>307</v>
      </c>
      <c r="AC8" s="231">
        <v>8</v>
      </c>
      <c r="AD8" s="243">
        <f t="shared" si="6"/>
        <v>26.25</v>
      </c>
      <c r="AE8" s="241">
        <v>446</v>
      </c>
      <c r="AF8" s="235">
        <f t="shared" si="7"/>
        <v>0.70627802690582964</v>
      </c>
      <c r="AG8" s="244"/>
      <c r="AH8" s="245">
        <v>10</v>
      </c>
      <c r="AI8" s="245">
        <v>30</v>
      </c>
      <c r="AJ8" s="246">
        <v>231</v>
      </c>
      <c r="AK8" s="246">
        <v>3</v>
      </c>
      <c r="AL8" s="247">
        <f>(Table1[[#This Row],[FY22 Grads]]+Table1[[#This Row],[FY22 Fails]])/Table1[[#This Row],[FY22 Total Courses]]</f>
        <v>23.4</v>
      </c>
      <c r="AM8" s="248">
        <v>498</v>
      </c>
      <c r="AN8" s="235">
        <f t="shared" si="9"/>
        <v>0.46987951807228917</v>
      </c>
      <c r="AO8" s="331" t="s">
        <v>579</v>
      </c>
    </row>
    <row r="9" spans="1:41" s="249" customFormat="1" ht="30" x14ac:dyDescent="0.25">
      <c r="A9" s="227" t="s">
        <v>580</v>
      </c>
      <c r="B9" s="228" t="s">
        <v>103</v>
      </c>
      <c r="C9" s="228" t="s">
        <v>86</v>
      </c>
      <c r="D9" s="229" t="s">
        <v>114</v>
      </c>
      <c r="E9" s="229" t="s">
        <v>115</v>
      </c>
      <c r="F9" s="230">
        <v>915</v>
      </c>
      <c r="G9" s="231">
        <v>45</v>
      </c>
      <c r="H9" s="232">
        <f t="shared" si="0"/>
        <v>20.333333333333332</v>
      </c>
      <c r="I9" s="233">
        <f t="shared" si="1"/>
        <v>21</v>
      </c>
      <c r="J9" s="234">
        <v>21</v>
      </c>
      <c r="K9" s="234">
        <v>24</v>
      </c>
      <c r="L9" s="234">
        <f t="shared" si="2"/>
        <v>504</v>
      </c>
      <c r="M9" s="230">
        <f t="shared" si="3"/>
        <v>0</v>
      </c>
      <c r="N9" s="235">
        <f t="shared" si="8"/>
        <v>1.0327868852459017</v>
      </c>
      <c r="O9" s="236">
        <v>915</v>
      </c>
      <c r="P9" s="237">
        <v>31</v>
      </c>
      <c r="Q9" s="238"/>
      <c r="R9" s="239">
        <v>16</v>
      </c>
      <c r="S9" s="240">
        <v>45</v>
      </c>
      <c r="T9" s="308">
        <v>486</v>
      </c>
      <c r="U9" s="306">
        <v>2</v>
      </c>
      <c r="V9" s="242">
        <f t="shared" si="4"/>
        <v>30.5</v>
      </c>
      <c r="W9" s="241">
        <v>851</v>
      </c>
      <c r="X9" s="235">
        <f t="shared" si="5"/>
        <v>0.57344300822561689</v>
      </c>
      <c r="Y9" s="238"/>
      <c r="Z9" s="239">
        <v>15</v>
      </c>
      <c r="AA9" s="240">
        <v>30</v>
      </c>
      <c r="AB9" s="231">
        <v>400</v>
      </c>
      <c r="AC9" s="231">
        <v>4</v>
      </c>
      <c r="AD9" s="243">
        <f t="shared" si="6"/>
        <v>26.933333333333334</v>
      </c>
      <c r="AE9" s="241">
        <v>273</v>
      </c>
      <c r="AF9" s="254">
        <f t="shared" si="7"/>
        <v>1.4798534798534799</v>
      </c>
      <c r="AG9" s="244"/>
      <c r="AH9" s="245">
        <v>11</v>
      </c>
      <c r="AI9" s="245">
        <v>30</v>
      </c>
      <c r="AJ9" s="246">
        <v>314</v>
      </c>
      <c r="AK9" s="246">
        <v>3</v>
      </c>
      <c r="AL9" s="247">
        <f>(Table1[[#This Row],[FY22 Grads]]+Table1[[#This Row],[FY22 Fails]])/Table1[[#This Row],[FY22 Total Courses]]</f>
        <v>28.818181818181817</v>
      </c>
      <c r="AM9" s="248">
        <v>207</v>
      </c>
      <c r="AN9" s="255">
        <f t="shared" si="9"/>
        <v>1.5314009661835748</v>
      </c>
      <c r="AO9" s="331" t="s">
        <v>580</v>
      </c>
    </row>
    <row r="10" spans="1:41" s="249" customFormat="1" ht="51.75" x14ac:dyDescent="0.25">
      <c r="A10" s="227" t="s">
        <v>581</v>
      </c>
      <c r="B10" s="228" t="s">
        <v>100</v>
      </c>
      <c r="C10" s="228" t="s">
        <v>86</v>
      </c>
      <c r="D10" s="229" t="s">
        <v>121</v>
      </c>
      <c r="E10" s="229" t="s">
        <v>122</v>
      </c>
      <c r="F10" s="230">
        <v>791</v>
      </c>
      <c r="G10" s="231">
        <v>45</v>
      </c>
      <c r="H10" s="232">
        <f t="shared" si="0"/>
        <v>17.577777777777779</v>
      </c>
      <c r="I10" s="233">
        <f t="shared" si="1"/>
        <v>18</v>
      </c>
      <c r="J10" s="234">
        <v>18</v>
      </c>
      <c r="K10" s="234">
        <v>24</v>
      </c>
      <c r="L10" s="234">
        <f t="shared" si="2"/>
        <v>432</v>
      </c>
      <c r="M10" s="230">
        <f t="shared" si="3"/>
        <v>0</v>
      </c>
      <c r="N10" s="235">
        <f t="shared" si="8"/>
        <v>1.0240202275600505</v>
      </c>
      <c r="O10" s="236">
        <v>640</v>
      </c>
      <c r="P10" s="237">
        <v>22</v>
      </c>
      <c r="Q10" s="238"/>
      <c r="R10" s="239">
        <v>18</v>
      </c>
      <c r="S10" s="240">
        <v>45</v>
      </c>
      <c r="T10" s="308">
        <v>683</v>
      </c>
      <c r="U10" s="306">
        <v>13</v>
      </c>
      <c r="V10" s="242">
        <f t="shared" si="4"/>
        <v>38.666666666666664</v>
      </c>
      <c r="W10" s="241">
        <v>800</v>
      </c>
      <c r="X10" s="235">
        <f t="shared" si="5"/>
        <v>0.87</v>
      </c>
      <c r="Y10" s="238"/>
      <c r="Z10" s="239">
        <v>26</v>
      </c>
      <c r="AA10" s="240">
        <v>30</v>
      </c>
      <c r="AB10" s="231">
        <v>680</v>
      </c>
      <c r="AC10" s="231">
        <v>29</v>
      </c>
      <c r="AD10" s="243">
        <f t="shared" si="6"/>
        <v>27.26923076923077</v>
      </c>
      <c r="AE10" s="241">
        <f>459+323</f>
        <v>782</v>
      </c>
      <c r="AF10" s="235">
        <f t="shared" si="7"/>
        <v>0.90664961636828645</v>
      </c>
      <c r="AG10" s="244"/>
      <c r="AH10" s="245">
        <v>17</v>
      </c>
      <c r="AI10" s="245">
        <v>30</v>
      </c>
      <c r="AJ10" s="246">
        <v>448</v>
      </c>
      <c r="AK10" s="246">
        <v>23</v>
      </c>
      <c r="AL10" s="247">
        <f>(Table1[[#This Row],[FY22 Grads]]+Table1[[#This Row],[FY22 Fails]])/Table1[[#This Row],[FY22 Total Courses]]</f>
        <v>27.705882352941178</v>
      </c>
      <c r="AM10" s="248">
        <v>221</v>
      </c>
      <c r="AN10" s="256">
        <f t="shared" si="9"/>
        <v>2.1312217194570136</v>
      </c>
      <c r="AO10" s="331" t="s">
        <v>581</v>
      </c>
    </row>
    <row r="11" spans="1:41" s="249" customFormat="1" ht="60" x14ac:dyDescent="0.25">
      <c r="A11" s="227" t="s">
        <v>582</v>
      </c>
      <c r="B11" s="228" t="s">
        <v>100</v>
      </c>
      <c r="C11" s="228" t="s">
        <v>86</v>
      </c>
      <c r="D11" s="229" t="s">
        <v>146</v>
      </c>
      <c r="E11" s="229" t="s">
        <v>147</v>
      </c>
      <c r="F11" s="230">
        <v>808</v>
      </c>
      <c r="G11" s="231">
        <v>45</v>
      </c>
      <c r="H11" s="232">
        <f t="shared" si="0"/>
        <v>17.955555555555556</v>
      </c>
      <c r="I11" s="233">
        <f t="shared" si="1"/>
        <v>18</v>
      </c>
      <c r="J11" s="234">
        <v>18</v>
      </c>
      <c r="K11" s="234">
        <v>16</v>
      </c>
      <c r="L11" s="234">
        <f t="shared" si="2"/>
        <v>288</v>
      </c>
      <c r="M11" s="230">
        <f t="shared" si="3"/>
        <v>0</v>
      </c>
      <c r="N11" s="235">
        <f t="shared" si="8"/>
        <v>1.0024752475247525</v>
      </c>
      <c r="O11" s="236">
        <v>659</v>
      </c>
      <c r="P11" s="237">
        <v>22</v>
      </c>
      <c r="Q11" s="238"/>
      <c r="R11" s="239">
        <v>15</v>
      </c>
      <c r="S11" s="240">
        <v>30</v>
      </c>
      <c r="T11" s="307">
        <v>309</v>
      </c>
      <c r="U11" s="306">
        <v>29</v>
      </c>
      <c r="V11" s="242">
        <f t="shared" si="4"/>
        <v>22.533333333333335</v>
      </c>
      <c r="W11" s="241">
        <v>595</v>
      </c>
      <c r="X11" s="235">
        <f t="shared" si="5"/>
        <v>0.56806722689075628</v>
      </c>
      <c r="Y11" s="238"/>
      <c r="Z11" s="239">
        <v>8</v>
      </c>
      <c r="AA11" s="240">
        <v>30</v>
      </c>
      <c r="AB11" s="231">
        <v>173</v>
      </c>
      <c r="AC11" s="231">
        <v>24</v>
      </c>
      <c r="AD11" s="243">
        <f t="shared" si="6"/>
        <v>24.625</v>
      </c>
      <c r="AE11" s="259">
        <v>220</v>
      </c>
      <c r="AF11" s="235">
        <f t="shared" si="7"/>
        <v>0.8954545454545455</v>
      </c>
      <c r="AG11" s="244"/>
      <c r="AH11" s="245">
        <v>10</v>
      </c>
      <c r="AI11" s="245">
        <v>30</v>
      </c>
      <c r="AJ11" s="246">
        <v>244</v>
      </c>
      <c r="AK11" s="246">
        <v>22</v>
      </c>
      <c r="AL11" s="247">
        <f>(Table1[[#This Row],[FY22 Grads]]+Table1[[#This Row],[FY22 Fails]])/Table1[[#This Row],[FY22 Total Courses]]</f>
        <v>26.6</v>
      </c>
      <c r="AM11" s="248">
        <v>305</v>
      </c>
      <c r="AN11" s="263">
        <f t="shared" si="9"/>
        <v>0.87213114754098364</v>
      </c>
      <c r="AO11" s="331" t="s">
        <v>582</v>
      </c>
    </row>
    <row r="12" spans="1:41" s="249" customFormat="1" ht="26.25" x14ac:dyDescent="0.25">
      <c r="A12" s="227" t="s">
        <v>583</v>
      </c>
      <c r="B12" s="228" t="s">
        <v>103</v>
      </c>
      <c r="C12" s="228" t="s">
        <v>86</v>
      </c>
      <c r="D12" s="229" t="s">
        <v>142</v>
      </c>
      <c r="E12" s="229">
        <v>1228</v>
      </c>
      <c r="F12" s="230">
        <v>1162</v>
      </c>
      <c r="G12" s="231">
        <v>45</v>
      </c>
      <c r="H12" s="232">
        <f t="shared" si="0"/>
        <v>25.822222222222223</v>
      </c>
      <c r="I12" s="233">
        <f t="shared" si="1"/>
        <v>26</v>
      </c>
      <c r="J12" s="234">
        <v>23</v>
      </c>
      <c r="K12" s="234">
        <v>40</v>
      </c>
      <c r="L12" s="234">
        <f t="shared" si="2"/>
        <v>920</v>
      </c>
      <c r="M12" s="230">
        <f t="shared" si="3"/>
        <v>-3</v>
      </c>
      <c r="N12" s="235">
        <f t="shared" si="8"/>
        <v>0.89070567986230642</v>
      </c>
      <c r="O12" s="236">
        <v>1051</v>
      </c>
      <c r="P12" s="237">
        <v>36</v>
      </c>
      <c r="Q12" s="238"/>
      <c r="R12" s="239">
        <v>23</v>
      </c>
      <c r="S12" s="240">
        <v>45</v>
      </c>
      <c r="T12" s="308">
        <v>721</v>
      </c>
      <c r="U12" s="306">
        <v>6</v>
      </c>
      <c r="V12" s="242">
        <f t="shared" si="4"/>
        <v>31.608695652173914</v>
      </c>
      <c r="W12" s="241">
        <v>1033</v>
      </c>
      <c r="X12" s="235">
        <f t="shared" si="5"/>
        <v>0.70377541142303968</v>
      </c>
      <c r="Y12" s="238"/>
      <c r="Z12" s="239">
        <v>20</v>
      </c>
      <c r="AA12" s="240">
        <v>30</v>
      </c>
      <c r="AB12" s="231">
        <v>558</v>
      </c>
      <c r="AC12" s="231">
        <v>10</v>
      </c>
      <c r="AD12" s="243">
        <f t="shared" si="6"/>
        <v>28.4</v>
      </c>
      <c r="AE12" s="259">
        <v>607</v>
      </c>
      <c r="AF12" s="235">
        <f t="shared" si="7"/>
        <v>0.93574958813838549</v>
      </c>
      <c r="AG12" s="244"/>
      <c r="AH12" s="245">
        <v>14</v>
      </c>
      <c r="AI12" s="245">
        <v>30</v>
      </c>
      <c r="AJ12" s="246">
        <v>307</v>
      </c>
      <c r="AK12" s="246">
        <v>0</v>
      </c>
      <c r="AL12" s="247">
        <f>(Table1[[#This Row],[FY22 Grads]]+Table1[[#This Row],[FY22 Fails]])/Table1[[#This Row],[FY22 Total Courses]]</f>
        <v>21.928571428571427</v>
      </c>
      <c r="AM12" s="248">
        <v>610</v>
      </c>
      <c r="AN12" s="235">
        <f t="shared" si="9"/>
        <v>0.50327868852459012</v>
      </c>
      <c r="AO12" s="331" t="s">
        <v>583</v>
      </c>
    </row>
    <row r="13" spans="1:41" s="249" customFormat="1" ht="45" x14ac:dyDescent="0.25">
      <c r="A13" s="227" t="s">
        <v>584</v>
      </c>
      <c r="B13" s="228" t="s">
        <v>90</v>
      </c>
      <c r="C13" s="228" t="s">
        <v>86</v>
      </c>
      <c r="D13" s="229" t="s">
        <v>136</v>
      </c>
      <c r="E13" s="229" t="s">
        <v>137</v>
      </c>
      <c r="F13" s="230">
        <v>553</v>
      </c>
      <c r="G13" s="231">
        <v>45</v>
      </c>
      <c r="H13" s="232">
        <f t="shared" si="0"/>
        <v>12.28888888888889</v>
      </c>
      <c r="I13" s="233">
        <f t="shared" si="1"/>
        <v>13</v>
      </c>
      <c r="J13" s="234">
        <v>16</v>
      </c>
      <c r="K13" s="234">
        <v>32</v>
      </c>
      <c r="L13" s="234">
        <f t="shared" si="2"/>
        <v>512</v>
      </c>
      <c r="M13" s="230">
        <f t="shared" si="3"/>
        <v>3</v>
      </c>
      <c r="N13" s="235">
        <f t="shared" si="8"/>
        <v>1.3019891500904159</v>
      </c>
      <c r="O13" s="236">
        <v>510</v>
      </c>
      <c r="P13" s="237">
        <v>17</v>
      </c>
      <c r="Q13" s="238"/>
      <c r="R13" s="239">
        <v>10</v>
      </c>
      <c r="S13" s="240">
        <v>30</v>
      </c>
      <c r="T13" s="307">
        <v>225</v>
      </c>
      <c r="U13" s="306">
        <v>9</v>
      </c>
      <c r="V13" s="242">
        <f t="shared" si="4"/>
        <v>23.4</v>
      </c>
      <c r="W13" s="241">
        <v>619</v>
      </c>
      <c r="X13" s="235">
        <f t="shared" si="5"/>
        <v>0.37802907915993539</v>
      </c>
      <c r="Y13" s="238"/>
      <c r="Z13" s="239">
        <v>11</v>
      </c>
      <c r="AA13" s="240">
        <v>30</v>
      </c>
      <c r="AB13" s="231">
        <v>250</v>
      </c>
      <c r="AC13" s="231">
        <v>10</v>
      </c>
      <c r="AD13" s="243">
        <f t="shared" si="6"/>
        <v>23.636363636363637</v>
      </c>
      <c r="AE13" s="241">
        <f>347+96</f>
        <v>443</v>
      </c>
      <c r="AF13" s="235">
        <f t="shared" si="7"/>
        <v>0.58690744920993232</v>
      </c>
      <c r="AG13" s="244"/>
      <c r="AH13" s="245">
        <v>8</v>
      </c>
      <c r="AI13" s="245">
        <v>30</v>
      </c>
      <c r="AJ13" s="246">
        <v>150</v>
      </c>
      <c r="AK13" s="246">
        <v>3</v>
      </c>
      <c r="AL13" s="247">
        <f>(Table1[[#This Row],[FY22 Grads]]+Table1[[#This Row],[FY22 Fails]])/Table1[[#This Row],[FY22 Total Courses]]</f>
        <v>19.125</v>
      </c>
      <c r="AM13" s="248">
        <v>132</v>
      </c>
      <c r="AN13" s="235">
        <f t="shared" si="9"/>
        <v>1.1590909090909092</v>
      </c>
      <c r="AO13" s="331" t="s">
        <v>584</v>
      </c>
    </row>
    <row r="14" spans="1:41" s="249" customFormat="1" ht="30" x14ac:dyDescent="0.25">
      <c r="A14" s="227" t="s">
        <v>48</v>
      </c>
      <c r="B14" s="228" t="s">
        <v>90</v>
      </c>
      <c r="C14" s="250" t="s">
        <v>7</v>
      </c>
      <c r="D14" s="229" t="s">
        <v>110</v>
      </c>
      <c r="E14" s="229" t="s">
        <v>111</v>
      </c>
      <c r="F14" s="230">
        <v>61</v>
      </c>
      <c r="G14" s="231">
        <v>25</v>
      </c>
      <c r="H14" s="232">
        <f t="shared" si="0"/>
        <v>2.44</v>
      </c>
      <c r="I14" s="233">
        <f t="shared" si="1"/>
        <v>3</v>
      </c>
      <c r="J14" s="234">
        <v>2</v>
      </c>
      <c r="K14" s="234">
        <v>16</v>
      </c>
      <c r="L14" s="234">
        <f t="shared" si="2"/>
        <v>32</v>
      </c>
      <c r="M14" s="230">
        <f t="shared" si="3"/>
        <v>-1</v>
      </c>
      <c r="N14" s="235">
        <f t="shared" si="8"/>
        <v>0.81967213114754101</v>
      </c>
      <c r="O14" s="236">
        <v>131</v>
      </c>
      <c r="P14" s="237">
        <v>6</v>
      </c>
      <c r="Q14" s="238"/>
      <c r="R14" s="239">
        <v>1</v>
      </c>
      <c r="S14" s="240">
        <v>25</v>
      </c>
      <c r="T14" s="308">
        <v>7</v>
      </c>
      <c r="U14" s="306">
        <v>0</v>
      </c>
      <c r="V14" s="242">
        <f t="shared" si="4"/>
        <v>7</v>
      </c>
      <c r="W14" s="241">
        <v>113</v>
      </c>
      <c r="X14" s="235">
        <f t="shared" si="5"/>
        <v>6.1946902654867256E-2</v>
      </c>
      <c r="Y14" s="238"/>
      <c r="Z14" s="239">
        <v>2</v>
      </c>
      <c r="AA14" s="240">
        <v>25</v>
      </c>
      <c r="AB14" s="231">
        <v>25</v>
      </c>
      <c r="AC14" s="231">
        <v>1</v>
      </c>
      <c r="AD14" s="243">
        <f t="shared" si="6"/>
        <v>13</v>
      </c>
      <c r="AE14" s="241">
        <v>30</v>
      </c>
      <c r="AF14" s="235">
        <f t="shared" si="7"/>
        <v>0.8666666666666667</v>
      </c>
      <c r="AG14" s="244"/>
      <c r="AH14" s="245"/>
      <c r="AI14" s="245"/>
      <c r="AJ14" s="253"/>
      <c r="AK14" s="253"/>
      <c r="AL14" s="247"/>
      <c r="AM14" s="248">
        <v>111</v>
      </c>
      <c r="AN14" s="235">
        <v>0</v>
      </c>
      <c r="AO14" s="331" t="s">
        <v>48</v>
      </c>
    </row>
    <row r="15" spans="1:41" s="249" customFormat="1" ht="45" x14ac:dyDescent="0.25">
      <c r="A15" s="227" t="s">
        <v>585</v>
      </c>
      <c r="B15" s="228" t="s">
        <v>103</v>
      </c>
      <c r="C15" s="228" t="s">
        <v>86</v>
      </c>
      <c r="D15" s="229" t="s">
        <v>138</v>
      </c>
      <c r="E15" s="229" t="s">
        <v>139</v>
      </c>
      <c r="F15" s="230">
        <v>1606</v>
      </c>
      <c r="G15" s="231">
        <v>45</v>
      </c>
      <c r="H15" s="232">
        <f t="shared" si="0"/>
        <v>35.68888888888889</v>
      </c>
      <c r="I15" s="233">
        <f t="shared" si="1"/>
        <v>36</v>
      </c>
      <c r="J15" s="234">
        <v>27</v>
      </c>
      <c r="K15" s="234">
        <v>32</v>
      </c>
      <c r="L15" s="234">
        <f t="shared" si="2"/>
        <v>864</v>
      </c>
      <c r="M15" s="230">
        <f t="shared" si="3"/>
        <v>-9</v>
      </c>
      <c r="N15" s="235">
        <f t="shared" si="8"/>
        <v>0.75653798256537985</v>
      </c>
      <c r="O15" s="236">
        <v>919</v>
      </c>
      <c r="P15" s="237">
        <v>31</v>
      </c>
      <c r="Q15" s="238"/>
      <c r="R15" s="239">
        <v>21</v>
      </c>
      <c r="S15" s="240">
        <v>45</v>
      </c>
      <c r="T15" s="308">
        <v>740</v>
      </c>
      <c r="U15" s="306">
        <v>9</v>
      </c>
      <c r="V15" s="242">
        <f t="shared" si="4"/>
        <v>35.666666666666664</v>
      </c>
      <c r="W15" s="241">
        <v>990</v>
      </c>
      <c r="X15" s="235">
        <f t="shared" si="5"/>
        <v>0.75656565656565655</v>
      </c>
      <c r="Y15" s="238"/>
      <c r="Z15" s="239">
        <v>18</v>
      </c>
      <c r="AA15" s="240">
        <v>30</v>
      </c>
      <c r="AB15" s="231">
        <v>492</v>
      </c>
      <c r="AC15" s="231">
        <v>14</v>
      </c>
      <c r="AD15" s="243">
        <f t="shared" si="6"/>
        <v>28.111111111111111</v>
      </c>
      <c r="AE15" s="241">
        <f>294+163</f>
        <v>457</v>
      </c>
      <c r="AF15" s="254">
        <f t="shared" si="7"/>
        <v>1.1072210065645514</v>
      </c>
      <c r="AG15" s="244"/>
      <c r="AH15" s="245">
        <v>12</v>
      </c>
      <c r="AI15" s="245">
        <v>30</v>
      </c>
      <c r="AJ15" s="246">
        <v>338</v>
      </c>
      <c r="AK15" s="246">
        <v>4</v>
      </c>
      <c r="AL15" s="247">
        <f>(Table1[[#This Row],[FY22 Grads]]+Table1[[#This Row],[FY22 Fails]])/Table1[[#This Row],[FY22 Total Courses]]</f>
        <v>28.5</v>
      </c>
      <c r="AM15" s="248">
        <v>384</v>
      </c>
      <c r="AN15" s="235">
        <f t="shared" ref="AN15:AN37" si="10">SUM(AJ15+AK15)/AM15</f>
        <v>0.890625</v>
      </c>
      <c r="AO15" s="331" t="s">
        <v>585</v>
      </c>
    </row>
    <row r="16" spans="1:41" s="249" customFormat="1" ht="45" x14ac:dyDescent="0.25">
      <c r="A16" s="227" t="s">
        <v>586</v>
      </c>
      <c r="B16" s="228" t="s">
        <v>90</v>
      </c>
      <c r="C16" s="228" t="s">
        <v>86</v>
      </c>
      <c r="D16" s="229" t="s">
        <v>134</v>
      </c>
      <c r="E16" s="229" t="s">
        <v>135</v>
      </c>
      <c r="F16" s="230">
        <v>1075</v>
      </c>
      <c r="G16" s="231">
        <v>45</v>
      </c>
      <c r="H16" s="232">
        <f t="shared" si="0"/>
        <v>23.888888888888889</v>
      </c>
      <c r="I16" s="233">
        <f t="shared" si="1"/>
        <v>24</v>
      </c>
      <c r="J16" s="234">
        <v>19</v>
      </c>
      <c r="K16" s="234">
        <v>24</v>
      </c>
      <c r="L16" s="234">
        <f t="shared" si="2"/>
        <v>456</v>
      </c>
      <c r="M16" s="230">
        <f t="shared" si="3"/>
        <v>-5</v>
      </c>
      <c r="N16" s="235">
        <f t="shared" si="8"/>
        <v>0.79534883720930227</v>
      </c>
      <c r="O16" s="236">
        <v>727</v>
      </c>
      <c r="P16" s="237">
        <v>19</v>
      </c>
      <c r="Q16" s="238"/>
      <c r="R16" s="239">
        <v>15</v>
      </c>
      <c r="S16" s="240">
        <v>40</v>
      </c>
      <c r="T16" s="307">
        <v>504</v>
      </c>
      <c r="U16" s="306">
        <v>12</v>
      </c>
      <c r="V16" s="242">
        <f t="shared" si="4"/>
        <v>34.4</v>
      </c>
      <c r="W16" s="241">
        <v>893</v>
      </c>
      <c r="X16" s="235">
        <f t="shared" si="5"/>
        <v>0.57782754759238519</v>
      </c>
      <c r="Y16" s="238"/>
      <c r="Z16" s="239">
        <v>12</v>
      </c>
      <c r="AA16" s="240">
        <v>40</v>
      </c>
      <c r="AB16" s="231">
        <v>436</v>
      </c>
      <c r="AC16" s="231">
        <v>5</v>
      </c>
      <c r="AD16" s="243">
        <f t="shared" si="6"/>
        <v>36.75</v>
      </c>
      <c r="AE16" s="241">
        <v>289</v>
      </c>
      <c r="AF16" s="254">
        <f t="shared" si="7"/>
        <v>1.5259515570934257</v>
      </c>
      <c r="AG16" s="244"/>
      <c r="AH16" s="245">
        <v>14</v>
      </c>
      <c r="AI16" s="245">
        <v>40</v>
      </c>
      <c r="AJ16" s="246">
        <v>514</v>
      </c>
      <c r="AK16" s="246">
        <v>10</v>
      </c>
      <c r="AL16" s="247">
        <f>(Table1[[#This Row],[FY22 Grads]]+Table1[[#This Row],[FY22 Fails]])/Table1[[#This Row],[FY22 Total Courses]]</f>
        <v>37.428571428571431</v>
      </c>
      <c r="AM16" s="248">
        <v>253</v>
      </c>
      <c r="AN16" s="258">
        <f t="shared" si="10"/>
        <v>2.0711462450592886</v>
      </c>
      <c r="AO16" s="331" t="s">
        <v>586</v>
      </c>
    </row>
    <row r="17" spans="1:41" s="249" customFormat="1" ht="53.25" customHeight="1" x14ac:dyDescent="0.25">
      <c r="A17" s="227" t="s">
        <v>44</v>
      </c>
      <c r="B17" s="228" t="s">
        <v>90</v>
      </c>
      <c r="C17" s="250" t="s">
        <v>7</v>
      </c>
      <c r="D17" s="229" t="s">
        <v>95</v>
      </c>
      <c r="E17" s="229">
        <v>3888</v>
      </c>
      <c r="F17" s="230">
        <v>171</v>
      </c>
      <c r="G17" s="231">
        <v>30</v>
      </c>
      <c r="H17" s="232">
        <f t="shared" si="0"/>
        <v>5.7</v>
      </c>
      <c r="I17" s="233">
        <f t="shared" si="1"/>
        <v>6</v>
      </c>
      <c r="J17" s="234">
        <v>4</v>
      </c>
      <c r="K17" s="251">
        <v>0.5</v>
      </c>
      <c r="L17" s="234">
        <f t="shared" si="2"/>
        <v>2</v>
      </c>
      <c r="M17" s="230">
        <f t="shared" si="3"/>
        <v>-2</v>
      </c>
      <c r="N17" s="235">
        <f t="shared" si="8"/>
        <v>0.70175438596491224</v>
      </c>
      <c r="O17" s="236">
        <v>261</v>
      </c>
      <c r="P17" s="237">
        <v>9</v>
      </c>
      <c r="Q17" s="238"/>
      <c r="R17" s="239">
        <v>4</v>
      </c>
      <c r="S17" s="240">
        <v>30</v>
      </c>
      <c r="T17" s="308">
        <v>42</v>
      </c>
      <c r="U17" s="306">
        <v>0</v>
      </c>
      <c r="V17" s="242">
        <f t="shared" si="4"/>
        <v>10.5</v>
      </c>
      <c r="W17" s="241">
        <v>234</v>
      </c>
      <c r="X17" s="235">
        <f t="shared" si="5"/>
        <v>0.17948717948717949</v>
      </c>
      <c r="Y17" s="238"/>
      <c r="Z17" s="239">
        <v>4</v>
      </c>
      <c r="AA17" s="240">
        <v>30</v>
      </c>
      <c r="AB17" s="231">
        <v>41</v>
      </c>
      <c r="AC17" s="231">
        <v>0</v>
      </c>
      <c r="AD17" s="243">
        <f t="shared" si="6"/>
        <v>10.25</v>
      </c>
      <c r="AE17" s="241">
        <v>79</v>
      </c>
      <c r="AF17" s="235">
        <f t="shared" si="7"/>
        <v>0.51898734177215189</v>
      </c>
      <c r="AG17" s="244"/>
      <c r="AH17" s="245">
        <v>4</v>
      </c>
      <c r="AI17" s="245">
        <v>25</v>
      </c>
      <c r="AJ17" s="246">
        <v>28</v>
      </c>
      <c r="AK17" s="246">
        <v>0</v>
      </c>
      <c r="AL17" s="247">
        <f>(Table1[[#This Row],[FY22 Grads]]+Table1[[#This Row],[FY22 Fails]])/Table1[[#This Row],[FY22 Total Courses]]</f>
        <v>7</v>
      </c>
      <c r="AM17" s="248">
        <v>76</v>
      </c>
      <c r="AN17" s="235">
        <f t="shared" si="10"/>
        <v>0.36842105263157893</v>
      </c>
      <c r="AO17" s="331" t="s">
        <v>44</v>
      </c>
    </row>
    <row r="18" spans="1:41" s="249" customFormat="1" ht="30" x14ac:dyDescent="0.25">
      <c r="A18" s="227" t="s">
        <v>52</v>
      </c>
      <c r="B18" s="228" t="s">
        <v>90</v>
      </c>
      <c r="C18" s="228" t="s">
        <v>86</v>
      </c>
      <c r="D18" s="229" t="s">
        <v>143</v>
      </c>
      <c r="E18" s="229">
        <v>3555</v>
      </c>
      <c r="F18" s="230">
        <v>685</v>
      </c>
      <c r="G18" s="231">
        <v>45</v>
      </c>
      <c r="H18" s="232">
        <f t="shared" si="0"/>
        <v>15.222222222222221</v>
      </c>
      <c r="I18" s="233">
        <f t="shared" si="1"/>
        <v>16</v>
      </c>
      <c r="J18" s="234">
        <v>16</v>
      </c>
      <c r="K18" s="234">
        <v>32</v>
      </c>
      <c r="L18" s="234">
        <f t="shared" si="2"/>
        <v>512</v>
      </c>
      <c r="M18" s="230">
        <f t="shared" si="3"/>
        <v>0</v>
      </c>
      <c r="N18" s="235">
        <f t="shared" si="8"/>
        <v>1.051094890510949</v>
      </c>
      <c r="O18" s="236">
        <v>657</v>
      </c>
      <c r="P18" s="237">
        <v>22</v>
      </c>
      <c r="Q18" s="238"/>
      <c r="R18" s="239">
        <v>10</v>
      </c>
      <c r="S18" s="240">
        <v>30</v>
      </c>
      <c r="T18" s="308">
        <v>248</v>
      </c>
      <c r="U18" s="306">
        <v>11</v>
      </c>
      <c r="V18" s="242">
        <f t="shared" si="4"/>
        <v>25.9</v>
      </c>
      <c r="W18" s="241">
        <v>605</v>
      </c>
      <c r="X18" s="235">
        <f t="shared" si="5"/>
        <v>0.42809917355371901</v>
      </c>
      <c r="Y18" s="238"/>
      <c r="Z18" s="239">
        <v>7</v>
      </c>
      <c r="AA18" s="240">
        <v>30</v>
      </c>
      <c r="AB18" s="231">
        <v>163</v>
      </c>
      <c r="AC18" s="231">
        <v>6</v>
      </c>
      <c r="AD18" s="243">
        <f t="shared" si="6"/>
        <v>24.142857142857142</v>
      </c>
      <c r="AE18" s="259">
        <v>168</v>
      </c>
      <c r="AF18" s="254">
        <f t="shared" si="7"/>
        <v>1.0059523809523809</v>
      </c>
      <c r="AG18" s="244"/>
      <c r="AH18" s="245">
        <v>4</v>
      </c>
      <c r="AI18" s="245">
        <v>30</v>
      </c>
      <c r="AJ18" s="246">
        <v>113</v>
      </c>
      <c r="AK18" s="246">
        <v>0</v>
      </c>
      <c r="AL18" s="247">
        <f>(Table1[[#This Row],[FY22 Grads]]+Table1[[#This Row],[FY22 Fails]])/Table1[[#This Row],[FY22 Total Courses]]</f>
        <v>28.25</v>
      </c>
      <c r="AM18" s="248">
        <v>191</v>
      </c>
      <c r="AN18" s="235">
        <f t="shared" si="10"/>
        <v>0.59162303664921467</v>
      </c>
      <c r="AO18" s="331" t="s">
        <v>52</v>
      </c>
    </row>
    <row r="19" spans="1:41" s="249" customFormat="1" ht="45" x14ac:dyDescent="0.25">
      <c r="A19" s="252" t="s">
        <v>35</v>
      </c>
      <c r="B19" s="228" t="s">
        <v>85</v>
      </c>
      <c r="C19" s="250" t="s">
        <v>7</v>
      </c>
      <c r="D19" s="229" t="s">
        <v>144</v>
      </c>
      <c r="E19" s="229" t="s">
        <v>145</v>
      </c>
      <c r="F19" s="230">
        <v>987</v>
      </c>
      <c r="G19" s="231">
        <v>30</v>
      </c>
      <c r="H19" s="232">
        <f t="shared" si="0"/>
        <v>32.9</v>
      </c>
      <c r="I19" s="233">
        <f t="shared" si="1"/>
        <v>33</v>
      </c>
      <c r="J19" s="234">
        <v>22</v>
      </c>
      <c r="K19" s="234">
        <v>8</v>
      </c>
      <c r="L19" s="234">
        <f t="shared" si="2"/>
        <v>176</v>
      </c>
      <c r="M19" s="230">
        <f t="shared" si="3"/>
        <v>-11</v>
      </c>
      <c r="N19" s="235">
        <f t="shared" si="8"/>
        <v>0.66869300911854102</v>
      </c>
      <c r="O19" s="236">
        <v>1323</v>
      </c>
      <c r="P19" s="237">
        <v>45</v>
      </c>
      <c r="Q19" s="238"/>
      <c r="R19" s="239">
        <v>21</v>
      </c>
      <c r="S19" s="240">
        <v>25</v>
      </c>
      <c r="T19" s="307">
        <v>406</v>
      </c>
      <c r="U19" s="306">
        <v>0</v>
      </c>
      <c r="V19" s="242">
        <f t="shared" si="4"/>
        <v>19.333333333333332</v>
      </c>
      <c r="W19" s="241">
        <v>1440</v>
      </c>
      <c r="X19" s="235">
        <f t="shared" si="5"/>
        <v>0.28194444444444444</v>
      </c>
      <c r="Y19" s="238"/>
      <c r="Z19" s="239">
        <v>21</v>
      </c>
      <c r="AA19" s="240">
        <v>25</v>
      </c>
      <c r="AB19" s="231">
        <v>269</v>
      </c>
      <c r="AC19" s="231">
        <v>0</v>
      </c>
      <c r="AD19" s="243">
        <f t="shared" si="6"/>
        <v>12.80952380952381</v>
      </c>
      <c r="AE19" s="259">
        <v>575</v>
      </c>
      <c r="AF19" s="235">
        <f t="shared" si="7"/>
        <v>0.46782608695652173</v>
      </c>
      <c r="AG19" s="244"/>
      <c r="AH19" s="245">
        <v>20</v>
      </c>
      <c r="AI19" s="245">
        <v>25</v>
      </c>
      <c r="AJ19" s="246">
        <v>303</v>
      </c>
      <c r="AK19" s="246">
        <v>0</v>
      </c>
      <c r="AL19" s="247">
        <f>(Table1[[#This Row],[FY22 Grads]]+Table1[[#This Row],[FY22 Fails]])/Table1[[#This Row],[FY22 Total Courses]]</f>
        <v>15.15</v>
      </c>
      <c r="AM19" s="248">
        <v>275</v>
      </c>
      <c r="AN19" s="262">
        <f t="shared" si="10"/>
        <v>1.1018181818181818</v>
      </c>
      <c r="AO19" s="331" t="s">
        <v>35</v>
      </c>
    </row>
    <row r="20" spans="1:41" s="249" customFormat="1" ht="30" x14ac:dyDescent="0.25">
      <c r="A20" s="252" t="s">
        <v>387</v>
      </c>
      <c r="B20" s="228" t="s">
        <v>103</v>
      </c>
      <c r="C20" s="250" t="s">
        <v>7</v>
      </c>
      <c r="D20" s="229" t="s">
        <v>104</v>
      </c>
      <c r="E20" s="229" t="s">
        <v>105</v>
      </c>
      <c r="F20" s="230">
        <v>2046</v>
      </c>
      <c r="G20" s="231">
        <v>25</v>
      </c>
      <c r="H20" s="232">
        <f t="shared" si="0"/>
        <v>81.84</v>
      </c>
      <c r="I20" s="233">
        <f t="shared" si="1"/>
        <v>82</v>
      </c>
      <c r="J20" s="234">
        <v>50</v>
      </c>
      <c r="K20" s="234">
        <v>40</v>
      </c>
      <c r="L20" s="234">
        <f t="shared" si="2"/>
        <v>2000</v>
      </c>
      <c r="M20" s="230">
        <f t="shared" si="3"/>
        <v>-32</v>
      </c>
      <c r="N20" s="235">
        <f t="shared" si="8"/>
        <v>0.6109481915933529</v>
      </c>
      <c r="O20" s="236">
        <v>2230</v>
      </c>
      <c r="P20" s="237">
        <v>90</v>
      </c>
      <c r="Q20" s="238"/>
      <c r="R20" s="239">
        <v>32</v>
      </c>
      <c r="S20" s="240">
        <v>25</v>
      </c>
      <c r="T20" s="307">
        <v>611</v>
      </c>
      <c r="U20" s="306">
        <v>0</v>
      </c>
      <c r="V20" s="242">
        <f t="shared" si="4"/>
        <v>19.09375</v>
      </c>
      <c r="W20" s="241">
        <v>2051</v>
      </c>
      <c r="X20" s="235">
        <f t="shared" si="5"/>
        <v>0.29790346172598731</v>
      </c>
      <c r="Y20" s="238"/>
      <c r="Z20" s="239">
        <v>21</v>
      </c>
      <c r="AA20" s="240">
        <v>25</v>
      </c>
      <c r="AB20" s="231">
        <v>435</v>
      </c>
      <c r="AC20" s="231">
        <v>1</v>
      </c>
      <c r="AD20" s="243">
        <f t="shared" si="6"/>
        <v>20.761904761904763</v>
      </c>
      <c r="AE20" s="241">
        <v>408</v>
      </c>
      <c r="AF20" s="235">
        <f t="shared" si="7"/>
        <v>1.0686274509803921</v>
      </c>
      <c r="AG20" s="244"/>
      <c r="AH20" s="245">
        <v>18</v>
      </c>
      <c r="AI20" s="245">
        <v>25</v>
      </c>
      <c r="AJ20" s="246">
        <v>328</v>
      </c>
      <c r="AK20" s="246">
        <v>1</v>
      </c>
      <c r="AL20" s="247">
        <f>(Table1[[#This Row],[FY22 Grads]]+Table1[[#This Row],[FY22 Fails]])/Table1[[#This Row],[FY22 Total Courses]]</f>
        <v>18.277777777777779</v>
      </c>
      <c r="AM20" s="248">
        <v>365</v>
      </c>
      <c r="AN20" s="235">
        <f t="shared" si="10"/>
        <v>0.90136986301369859</v>
      </c>
      <c r="AO20" s="331" t="s">
        <v>387</v>
      </c>
    </row>
    <row r="21" spans="1:41" s="249" customFormat="1" ht="30" x14ac:dyDescent="0.25">
      <c r="A21" s="252" t="s">
        <v>34</v>
      </c>
      <c r="B21" s="228" t="s">
        <v>85</v>
      </c>
      <c r="C21" s="250" t="s">
        <v>7</v>
      </c>
      <c r="D21" s="229" t="s">
        <v>131</v>
      </c>
      <c r="E21" s="229" t="s">
        <v>132</v>
      </c>
      <c r="F21" s="230">
        <v>436</v>
      </c>
      <c r="G21" s="231">
        <v>30</v>
      </c>
      <c r="H21" s="232">
        <f t="shared" si="0"/>
        <v>14.533333333333333</v>
      </c>
      <c r="I21" s="233">
        <f t="shared" si="1"/>
        <v>15</v>
      </c>
      <c r="J21" s="234">
        <v>8</v>
      </c>
      <c r="K21" s="234">
        <v>8</v>
      </c>
      <c r="L21" s="234">
        <f t="shared" si="2"/>
        <v>64</v>
      </c>
      <c r="M21" s="230">
        <f t="shared" si="3"/>
        <v>-7</v>
      </c>
      <c r="N21" s="235">
        <f t="shared" si="8"/>
        <v>0.55045871559633031</v>
      </c>
      <c r="O21" s="236">
        <v>1073</v>
      </c>
      <c r="P21" s="237">
        <v>36</v>
      </c>
      <c r="Q21" s="238"/>
      <c r="R21" s="239">
        <v>6</v>
      </c>
      <c r="S21" s="240">
        <v>30</v>
      </c>
      <c r="T21" s="308">
        <v>132</v>
      </c>
      <c r="U21" s="306">
        <v>0</v>
      </c>
      <c r="V21" s="242">
        <f t="shared" si="4"/>
        <v>22</v>
      </c>
      <c r="W21" s="241">
        <v>1090</v>
      </c>
      <c r="X21" s="235">
        <f t="shared" si="5"/>
        <v>0.12110091743119267</v>
      </c>
      <c r="Y21" s="238"/>
      <c r="Z21" s="239">
        <v>9</v>
      </c>
      <c r="AA21" s="240">
        <v>30</v>
      </c>
      <c r="AB21" s="231">
        <v>146</v>
      </c>
      <c r="AC21" s="231">
        <v>0</v>
      </c>
      <c r="AD21" s="243">
        <f t="shared" si="6"/>
        <v>16.222222222222221</v>
      </c>
      <c r="AE21" s="241">
        <v>300</v>
      </c>
      <c r="AF21" s="235">
        <f t="shared" si="7"/>
        <v>0.48666666666666669</v>
      </c>
      <c r="AG21" s="244"/>
      <c r="AH21" s="245">
        <v>9</v>
      </c>
      <c r="AI21" s="245">
        <v>30</v>
      </c>
      <c r="AJ21" s="246">
        <v>192</v>
      </c>
      <c r="AK21" s="246">
        <v>0</v>
      </c>
      <c r="AL21" s="247">
        <f>(Table1[[#This Row],[FY22 Grads]]+Table1[[#This Row],[FY22 Fails]])/Table1[[#This Row],[FY22 Total Courses]]</f>
        <v>21.333333333333332</v>
      </c>
      <c r="AM21" s="248">
        <v>270</v>
      </c>
      <c r="AN21" s="235">
        <f t="shared" si="10"/>
        <v>0.71111111111111114</v>
      </c>
      <c r="AO21" s="331" t="s">
        <v>34</v>
      </c>
    </row>
    <row r="22" spans="1:41" s="249" customFormat="1" ht="30" x14ac:dyDescent="0.25">
      <c r="A22" s="252" t="s">
        <v>33</v>
      </c>
      <c r="B22" s="228" t="s">
        <v>85</v>
      </c>
      <c r="C22" s="250" t="s">
        <v>7</v>
      </c>
      <c r="D22" s="229" t="s">
        <v>129</v>
      </c>
      <c r="E22" s="229" t="s">
        <v>130</v>
      </c>
      <c r="F22" s="230">
        <v>824</v>
      </c>
      <c r="G22" s="231">
        <v>30</v>
      </c>
      <c r="H22" s="232">
        <f t="shared" si="0"/>
        <v>27.466666666666665</v>
      </c>
      <c r="I22" s="233">
        <f t="shared" si="1"/>
        <v>28</v>
      </c>
      <c r="J22" s="234">
        <v>15</v>
      </c>
      <c r="K22" s="234">
        <v>8</v>
      </c>
      <c r="L22" s="234">
        <f t="shared" si="2"/>
        <v>120</v>
      </c>
      <c r="M22" s="230">
        <f t="shared" si="3"/>
        <v>-13</v>
      </c>
      <c r="N22" s="235">
        <f t="shared" si="8"/>
        <v>0.54611650485436891</v>
      </c>
      <c r="O22" s="236">
        <v>816</v>
      </c>
      <c r="P22" s="237">
        <v>28</v>
      </c>
      <c r="Q22" s="238"/>
      <c r="R22" s="239">
        <v>14</v>
      </c>
      <c r="S22" s="240">
        <v>30</v>
      </c>
      <c r="T22" s="307">
        <v>187</v>
      </c>
      <c r="U22" s="306">
        <v>0</v>
      </c>
      <c r="V22" s="242">
        <f t="shared" si="4"/>
        <v>13.357142857142858</v>
      </c>
      <c r="W22" s="241">
        <v>810</v>
      </c>
      <c r="X22" s="235">
        <f t="shared" si="5"/>
        <v>0.23086419753086421</v>
      </c>
      <c r="Y22" s="238"/>
      <c r="Z22" s="239">
        <v>8</v>
      </c>
      <c r="AA22" s="240">
        <v>30</v>
      </c>
      <c r="AB22" s="231">
        <v>100</v>
      </c>
      <c r="AC22" s="231">
        <v>0</v>
      </c>
      <c r="AD22" s="243">
        <f t="shared" si="6"/>
        <v>12.5</v>
      </c>
      <c r="AE22" s="241">
        <v>210</v>
      </c>
      <c r="AF22" s="235">
        <f t="shared" si="7"/>
        <v>0.47619047619047616</v>
      </c>
      <c r="AG22" s="244"/>
      <c r="AH22" s="245">
        <v>9</v>
      </c>
      <c r="AI22" s="245">
        <v>30</v>
      </c>
      <c r="AJ22" s="246">
        <v>132</v>
      </c>
      <c r="AK22" s="246">
        <v>0</v>
      </c>
      <c r="AL22" s="247">
        <f>(Table1[[#This Row],[FY22 Grads]]+Table1[[#This Row],[FY22 Fails]])/Table1[[#This Row],[FY22 Total Courses]]</f>
        <v>14.666666666666666</v>
      </c>
      <c r="AM22" s="248">
        <v>90</v>
      </c>
      <c r="AN22" s="256">
        <f t="shared" si="10"/>
        <v>1.4666666666666666</v>
      </c>
      <c r="AO22" s="331" t="s">
        <v>33</v>
      </c>
    </row>
    <row r="23" spans="1:41" s="249" customFormat="1" ht="30" x14ac:dyDescent="0.25">
      <c r="A23" s="252" t="s">
        <v>587</v>
      </c>
      <c r="B23" s="228" t="s">
        <v>103</v>
      </c>
      <c r="C23" s="250" t="s">
        <v>86</v>
      </c>
      <c r="D23" s="229" t="s">
        <v>140</v>
      </c>
      <c r="E23" s="229" t="s">
        <v>141</v>
      </c>
      <c r="F23" s="230">
        <v>614</v>
      </c>
      <c r="G23" s="231">
        <v>30</v>
      </c>
      <c r="H23" s="232">
        <f t="shared" si="0"/>
        <v>20.466666666666665</v>
      </c>
      <c r="I23" s="233">
        <f t="shared" si="1"/>
        <v>21</v>
      </c>
      <c r="J23" s="234">
        <v>10</v>
      </c>
      <c r="K23" s="234">
        <v>32</v>
      </c>
      <c r="L23" s="234">
        <f t="shared" si="2"/>
        <v>320</v>
      </c>
      <c r="M23" s="230">
        <f t="shared" si="3"/>
        <v>-11</v>
      </c>
      <c r="N23" s="235">
        <f t="shared" si="8"/>
        <v>0.48859934853420195</v>
      </c>
      <c r="O23" s="236">
        <v>536</v>
      </c>
      <c r="P23" s="237">
        <v>18</v>
      </c>
      <c r="Q23" s="238"/>
      <c r="R23" s="239">
        <v>10</v>
      </c>
      <c r="S23" s="240">
        <v>30</v>
      </c>
      <c r="T23" s="308">
        <v>165</v>
      </c>
      <c r="U23" s="306">
        <v>0</v>
      </c>
      <c r="V23" s="242">
        <f t="shared" si="4"/>
        <v>16.5</v>
      </c>
      <c r="W23" s="241">
        <v>572</v>
      </c>
      <c r="X23" s="235">
        <f t="shared" si="5"/>
        <v>0.28846153846153844</v>
      </c>
      <c r="Y23" s="238"/>
      <c r="Z23" s="239">
        <v>7</v>
      </c>
      <c r="AA23" s="240">
        <v>30</v>
      </c>
      <c r="AB23" s="231">
        <v>175</v>
      </c>
      <c r="AC23" s="231">
        <v>2</v>
      </c>
      <c r="AD23" s="243">
        <f t="shared" si="6"/>
        <v>25.285714285714285</v>
      </c>
      <c r="AE23" s="259">
        <v>480</v>
      </c>
      <c r="AF23" s="235">
        <f t="shared" si="7"/>
        <v>0.36875000000000002</v>
      </c>
      <c r="AG23" s="244"/>
      <c r="AH23" s="245">
        <v>2</v>
      </c>
      <c r="AI23" s="245">
        <v>30</v>
      </c>
      <c r="AJ23" s="246">
        <v>56</v>
      </c>
      <c r="AK23" s="246">
        <v>0</v>
      </c>
      <c r="AL23" s="247">
        <f>(Table1[[#This Row],[FY22 Grads]]+Table1[[#This Row],[FY22 Fails]])/Table1[[#This Row],[FY22 Total Courses]]</f>
        <v>28</v>
      </c>
      <c r="AM23" s="248">
        <v>421</v>
      </c>
      <c r="AN23" s="235">
        <f t="shared" si="10"/>
        <v>0.1330166270783848</v>
      </c>
      <c r="AO23" s="331" t="s">
        <v>587</v>
      </c>
    </row>
    <row r="24" spans="1:41" s="249" customFormat="1" ht="26.25" x14ac:dyDescent="0.25">
      <c r="A24" s="252" t="s">
        <v>391</v>
      </c>
      <c r="B24" s="228" t="s">
        <v>103</v>
      </c>
      <c r="C24" s="250" t="s">
        <v>7</v>
      </c>
      <c r="D24" s="229" t="s">
        <v>116</v>
      </c>
      <c r="E24" s="229" t="s">
        <v>117</v>
      </c>
      <c r="F24" s="230">
        <v>883</v>
      </c>
      <c r="G24" s="231">
        <v>30</v>
      </c>
      <c r="H24" s="232">
        <f t="shared" si="0"/>
        <v>29.433333333333334</v>
      </c>
      <c r="I24" s="233">
        <f t="shared" si="1"/>
        <v>30</v>
      </c>
      <c r="J24" s="234">
        <v>14</v>
      </c>
      <c r="K24" s="234">
        <v>32</v>
      </c>
      <c r="L24" s="234">
        <f t="shared" si="2"/>
        <v>448</v>
      </c>
      <c r="M24" s="230">
        <f t="shared" si="3"/>
        <v>-16</v>
      </c>
      <c r="N24" s="235">
        <f t="shared" si="8"/>
        <v>0.47565118912797283</v>
      </c>
      <c r="O24" s="236">
        <v>792</v>
      </c>
      <c r="P24" s="237">
        <v>27</v>
      </c>
      <c r="Q24" s="238"/>
      <c r="R24" s="239">
        <v>9</v>
      </c>
      <c r="S24" s="240">
        <v>30</v>
      </c>
      <c r="T24" s="307">
        <v>108</v>
      </c>
      <c r="U24" s="306">
        <v>0</v>
      </c>
      <c r="V24" s="242">
        <f t="shared" si="4"/>
        <v>12</v>
      </c>
      <c r="W24" s="241">
        <v>939</v>
      </c>
      <c r="X24" s="235">
        <f t="shared" si="5"/>
        <v>0.11501597444089456</v>
      </c>
      <c r="Y24" s="238"/>
      <c r="Z24" s="239">
        <v>6</v>
      </c>
      <c r="AA24" s="240">
        <v>30</v>
      </c>
      <c r="AB24" s="231">
        <v>145</v>
      </c>
      <c r="AC24" s="231">
        <v>0</v>
      </c>
      <c r="AD24" s="243">
        <f t="shared" si="6"/>
        <v>24.166666666666668</v>
      </c>
      <c r="AE24" s="241">
        <v>517</v>
      </c>
      <c r="AF24" s="235">
        <f t="shared" si="7"/>
        <v>0.28046421663442939</v>
      </c>
      <c r="AG24" s="244"/>
      <c r="AH24" s="245">
        <v>4</v>
      </c>
      <c r="AI24" s="245">
        <v>30</v>
      </c>
      <c r="AJ24" s="246">
        <v>63</v>
      </c>
      <c r="AK24" s="246">
        <v>0</v>
      </c>
      <c r="AL24" s="247">
        <f>(Table1[[#This Row],[FY22 Grads]]+Table1[[#This Row],[FY22 Fails]])/Table1[[#This Row],[FY22 Total Courses]]</f>
        <v>15.75</v>
      </c>
      <c r="AM24" s="248">
        <v>431</v>
      </c>
      <c r="AN24" s="235">
        <f t="shared" si="10"/>
        <v>0.14617169373549885</v>
      </c>
      <c r="AO24" s="331" t="s">
        <v>391</v>
      </c>
    </row>
    <row r="25" spans="1:41" s="249" customFormat="1" ht="30" x14ac:dyDescent="0.25">
      <c r="A25" s="227" t="s">
        <v>46</v>
      </c>
      <c r="B25" s="228" t="s">
        <v>90</v>
      </c>
      <c r="C25" s="250" t="s">
        <v>7</v>
      </c>
      <c r="D25" s="229" t="s">
        <v>98</v>
      </c>
      <c r="E25" s="229" t="s">
        <v>99</v>
      </c>
      <c r="F25" s="230">
        <v>258</v>
      </c>
      <c r="G25" s="231">
        <v>30</v>
      </c>
      <c r="H25" s="232">
        <f t="shared" si="0"/>
        <v>8.6</v>
      </c>
      <c r="I25" s="233">
        <f t="shared" si="1"/>
        <v>9</v>
      </c>
      <c r="J25" s="234">
        <v>4</v>
      </c>
      <c r="K25" s="234">
        <v>8</v>
      </c>
      <c r="L25" s="234">
        <f t="shared" si="2"/>
        <v>32</v>
      </c>
      <c r="M25" s="230">
        <f t="shared" si="3"/>
        <v>-5</v>
      </c>
      <c r="N25" s="235">
        <f t="shared" si="8"/>
        <v>0.46511627906976744</v>
      </c>
      <c r="O25" s="236">
        <v>321</v>
      </c>
      <c r="P25" s="237">
        <v>11</v>
      </c>
      <c r="Q25" s="238"/>
      <c r="R25" s="239">
        <v>4</v>
      </c>
      <c r="S25" s="240">
        <v>30</v>
      </c>
      <c r="T25" s="308">
        <v>46</v>
      </c>
      <c r="U25" s="306">
        <v>0</v>
      </c>
      <c r="V25" s="242">
        <f t="shared" si="4"/>
        <v>11.5</v>
      </c>
      <c r="W25" s="241">
        <v>299</v>
      </c>
      <c r="X25" s="235">
        <f t="shared" si="5"/>
        <v>0.15384615384615385</v>
      </c>
      <c r="Y25" s="238"/>
      <c r="Z25" s="239">
        <v>4</v>
      </c>
      <c r="AA25" s="240">
        <v>30</v>
      </c>
      <c r="AB25" s="231">
        <v>53</v>
      </c>
      <c r="AC25" s="231">
        <v>0</v>
      </c>
      <c r="AD25" s="243">
        <f t="shared" si="6"/>
        <v>13.25</v>
      </c>
      <c r="AE25" s="241">
        <v>74</v>
      </c>
      <c r="AF25" s="235">
        <f t="shared" si="7"/>
        <v>0.71621621621621623</v>
      </c>
      <c r="AG25" s="244"/>
      <c r="AH25" s="245">
        <v>4</v>
      </c>
      <c r="AI25" s="245">
        <v>25</v>
      </c>
      <c r="AJ25" s="246">
        <v>57</v>
      </c>
      <c r="AK25" s="246">
        <v>0</v>
      </c>
      <c r="AL25" s="247">
        <f>(Table1[[#This Row],[FY22 Grads]]+Table1[[#This Row],[FY22 Fails]])/Table1[[#This Row],[FY22 Total Courses]]</f>
        <v>14.25</v>
      </c>
      <c r="AM25" s="248">
        <v>69</v>
      </c>
      <c r="AN25" s="235">
        <f t="shared" si="10"/>
        <v>0.82608695652173914</v>
      </c>
      <c r="AO25" s="331" t="s">
        <v>46</v>
      </c>
    </row>
    <row r="26" spans="1:41" s="249" customFormat="1" ht="30" x14ac:dyDescent="0.25">
      <c r="A26" s="227" t="s">
        <v>53</v>
      </c>
      <c r="B26" s="228" t="s">
        <v>90</v>
      </c>
      <c r="C26" s="250" t="s">
        <v>7</v>
      </c>
      <c r="D26" s="229" t="s">
        <v>148</v>
      </c>
      <c r="E26" s="229" t="s">
        <v>149</v>
      </c>
      <c r="F26" s="230">
        <v>1437</v>
      </c>
      <c r="G26" s="231">
        <v>30</v>
      </c>
      <c r="H26" s="232">
        <f t="shared" si="0"/>
        <v>47.9</v>
      </c>
      <c r="I26" s="233">
        <f t="shared" si="1"/>
        <v>48</v>
      </c>
      <c r="J26" s="234">
        <v>22</v>
      </c>
      <c r="K26" s="234">
        <v>40</v>
      </c>
      <c r="L26" s="234">
        <f t="shared" si="2"/>
        <v>880</v>
      </c>
      <c r="M26" s="230">
        <f t="shared" si="3"/>
        <v>-26</v>
      </c>
      <c r="N26" s="235">
        <f t="shared" si="8"/>
        <v>0.45929018789144049</v>
      </c>
      <c r="O26" s="236">
        <v>1043</v>
      </c>
      <c r="P26" s="237">
        <v>35</v>
      </c>
      <c r="Q26" s="238"/>
      <c r="R26" s="239">
        <v>25</v>
      </c>
      <c r="S26" s="240">
        <v>30</v>
      </c>
      <c r="T26" s="307">
        <v>553</v>
      </c>
      <c r="U26" s="306">
        <v>1</v>
      </c>
      <c r="V26" s="242">
        <f t="shared" si="4"/>
        <v>22.16</v>
      </c>
      <c r="W26" s="241">
        <v>1181</v>
      </c>
      <c r="X26" s="235">
        <f t="shared" si="5"/>
        <v>0.4690939881456393</v>
      </c>
      <c r="Y26" s="238"/>
      <c r="Z26" s="239">
        <v>24</v>
      </c>
      <c r="AA26" s="240">
        <v>30</v>
      </c>
      <c r="AB26" s="231">
        <v>596</v>
      </c>
      <c r="AC26" s="231">
        <v>0</v>
      </c>
      <c r="AD26" s="243">
        <f t="shared" si="6"/>
        <v>24.833333333333332</v>
      </c>
      <c r="AE26" s="259">
        <v>683</v>
      </c>
      <c r="AF26" s="235">
        <f t="shared" si="7"/>
        <v>0.87262079062957543</v>
      </c>
      <c r="AG26" s="244"/>
      <c r="AH26" s="245">
        <v>22</v>
      </c>
      <c r="AI26" s="245">
        <v>30</v>
      </c>
      <c r="AJ26" s="246">
        <v>535</v>
      </c>
      <c r="AK26" s="246">
        <v>1</v>
      </c>
      <c r="AL26" s="247">
        <f>(Table1[[#This Row],[FY22 Grads]]+Table1[[#This Row],[FY22 Fails]])/Table1[[#This Row],[FY22 Total Courses]]</f>
        <v>24.363636363636363</v>
      </c>
      <c r="AM26" s="248">
        <v>663</v>
      </c>
      <c r="AN26" s="235">
        <f t="shared" si="10"/>
        <v>0.80844645550527905</v>
      </c>
      <c r="AO26" s="331" t="s">
        <v>53</v>
      </c>
    </row>
    <row r="27" spans="1:41" s="249" customFormat="1" ht="60" x14ac:dyDescent="0.25">
      <c r="A27" s="252" t="s">
        <v>31</v>
      </c>
      <c r="B27" s="228" t="s">
        <v>85</v>
      </c>
      <c r="C27" s="250" t="s">
        <v>7</v>
      </c>
      <c r="D27" s="229" t="s">
        <v>125</v>
      </c>
      <c r="E27" s="229" t="s">
        <v>126</v>
      </c>
      <c r="F27" s="230">
        <v>1705</v>
      </c>
      <c r="G27" s="231">
        <v>30</v>
      </c>
      <c r="H27" s="232">
        <f t="shared" si="0"/>
        <v>56.833333333333336</v>
      </c>
      <c r="I27" s="233">
        <f t="shared" si="1"/>
        <v>57</v>
      </c>
      <c r="J27" s="234">
        <v>25</v>
      </c>
      <c r="K27" s="234">
        <v>8</v>
      </c>
      <c r="L27" s="234">
        <f t="shared" si="2"/>
        <v>200</v>
      </c>
      <c r="M27" s="230">
        <f t="shared" si="3"/>
        <v>-32</v>
      </c>
      <c r="N27" s="235">
        <f t="shared" si="8"/>
        <v>0.43988269794721407</v>
      </c>
      <c r="O27" s="236">
        <v>1432</v>
      </c>
      <c r="P27" s="237">
        <v>48</v>
      </c>
      <c r="Q27" s="238"/>
      <c r="R27" s="239">
        <v>22</v>
      </c>
      <c r="S27" s="240">
        <v>30</v>
      </c>
      <c r="T27" s="307">
        <v>438</v>
      </c>
      <c r="U27" s="306">
        <v>0</v>
      </c>
      <c r="V27" s="242">
        <f t="shared" si="4"/>
        <v>19.90909090909091</v>
      </c>
      <c r="W27" s="241">
        <v>1595</v>
      </c>
      <c r="X27" s="235">
        <f t="shared" si="5"/>
        <v>0.27460815047021941</v>
      </c>
      <c r="Y27" s="238"/>
      <c r="Z27" s="239">
        <v>34</v>
      </c>
      <c r="AA27" s="240">
        <v>30</v>
      </c>
      <c r="AB27" s="231">
        <v>652</v>
      </c>
      <c r="AC27" s="231">
        <v>12</v>
      </c>
      <c r="AD27" s="243">
        <f t="shared" si="6"/>
        <v>19.529411764705884</v>
      </c>
      <c r="AE27" s="241">
        <v>930</v>
      </c>
      <c r="AF27" s="235">
        <f t="shared" si="7"/>
        <v>0.71397849462365592</v>
      </c>
      <c r="AG27" s="244"/>
      <c r="AH27" s="245">
        <v>43</v>
      </c>
      <c r="AI27" s="245">
        <v>25</v>
      </c>
      <c r="AJ27" s="246">
        <v>772</v>
      </c>
      <c r="AK27" s="246">
        <v>0</v>
      </c>
      <c r="AL27" s="247">
        <f>(Table1[[#This Row],[FY22 Grads]]+Table1[[#This Row],[FY22 Fails]])/Table1[[#This Row],[FY22 Total Courses]]</f>
        <v>17.953488372093023</v>
      </c>
      <c r="AM27" s="248">
        <v>1100</v>
      </c>
      <c r="AN27" s="235">
        <f t="shared" si="10"/>
        <v>0.70181818181818179</v>
      </c>
      <c r="AO27" s="331" t="s">
        <v>31</v>
      </c>
    </row>
    <row r="28" spans="1:41" s="249" customFormat="1" ht="30" x14ac:dyDescent="0.25">
      <c r="A28" s="252" t="s">
        <v>32</v>
      </c>
      <c r="B28" s="228" t="s">
        <v>85</v>
      </c>
      <c r="C28" s="250" t="s">
        <v>7</v>
      </c>
      <c r="D28" s="229" t="s">
        <v>127</v>
      </c>
      <c r="E28" s="229" t="s">
        <v>128</v>
      </c>
      <c r="F28" s="230">
        <v>614</v>
      </c>
      <c r="G28" s="231">
        <v>30</v>
      </c>
      <c r="H28" s="232">
        <f t="shared" si="0"/>
        <v>20.466666666666665</v>
      </c>
      <c r="I28" s="233">
        <f t="shared" si="1"/>
        <v>21</v>
      </c>
      <c r="J28" s="234">
        <v>9</v>
      </c>
      <c r="K28" s="234">
        <v>16</v>
      </c>
      <c r="L28" s="234">
        <f t="shared" si="2"/>
        <v>144</v>
      </c>
      <c r="M28" s="230">
        <f t="shared" si="3"/>
        <v>-12</v>
      </c>
      <c r="N28" s="235">
        <f t="shared" si="8"/>
        <v>0.43973941368078173</v>
      </c>
      <c r="O28" s="236">
        <v>954</v>
      </c>
      <c r="P28" s="237">
        <v>32</v>
      </c>
      <c r="Q28" s="238"/>
      <c r="R28" s="239">
        <v>6</v>
      </c>
      <c r="S28" s="240">
        <v>30</v>
      </c>
      <c r="T28" s="308">
        <v>123</v>
      </c>
      <c r="U28" s="306">
        <v>0</v>
      </c>
      <c r="V28" s="242">
        <f t="shared" si="4"/>
        <v>20.5</v>
      </c>
      <c r="W28" s="241">
        <v>958</v>
      </c>
      <c r="X28" s="235">
        <f t="shared" si="5"/>
        <v>0.12839248434237996</v>
      </c>
      <c r="Y28" s="238"/>
      <c r="Z28" s="239">
        <v>12</v>
      </c>
      <c r="AA28" s="240">
        <v>30</v>
      </c>
      <c r="AB28" s="231">
        <v>178</v>
      </c>
      <c r="AC28" s="231">
        <v>0</v>
      </c>
      <c r="AD28" s="243">
        <f t="shared" si="6"/>
        <v>14.833333333333334</v>
      </c>
      <c r="AE28" s="241">
        <v>630</v>
      </c>
      <c r="AF28" s="235">
        <f t="shared" si="7"/>
        <v>0.28253968253968254</v>
      </c>
      <c r="AG28" s="244"/>
      <c r="AH28" s="245">
        <v>20</v>
      </c>
      <c r="AI28" s="245">
        <v>30</v>
      </c>
      <c r="AJ28" s="246">
        <v>311</v>
      </c>
      <c r="AK28" s="246">
        <v>0</v>
      </c>
      <c r="AL28" s="247">
        <f>(Table1[[#This Row],[FY22 Grads]]+Table1[[#This Row],[FY22 Fails]])/Table1[[#This Row],[FY22 Total Courses]]</f>
        <v>15.55</v>
      </c>
      <c r="AM28" s="248">
        <v>510</v>
      </c>
      <c r="AN28" s="235">
        <f t="shared" si="10"/>
        <v>0.6098039215686275</v>
      </c>
      <c r="AO28" s="331" t="s">
        <v>32</v>
      </c>
    </row>
    <row r="29" spans="1:41" s="249" customFormat="1" ht="45" x14ac:dyDescent="0.25">
      <c r="A29" s="252" t="s">
        <v>29</v>
      </c>
      <c r="B29" s="228" t="s">
        <v>85</v>
      </c>
      <c r="C29" s="250" t="s">
        <v>7</v>
      </c>
      <c r="D29" s="229" t="s">
        <v>123</v>
      </c>
      <c r="E29" s="257" t="s">
        <v>124</v>
      </c>
      <c r="F29" s="230">
        <v>1042</v>
      </c>
      <c r="G29" s="231">
        <v>25</v>
      </c>
      <c r="H29" s="232">
        <f t="shared" si="0"/>
        <v>41.68</v>
      </c>
      <c r="I29" s="233">
        <f t="shared" si="1"/>
        <v>42</v>
      </c>
      <c r="J29" s="234">
        <v>18</v>
      </c>
      <c r="K29" s="234">
        <v>24</v>
      </c>
      <c r="L29" s="234">
        <f t="shared" si="2"/>
        <v>432</v>
      </c>
      <c r="M29" s="230">
        <f t="shared" si="3"/>
        <v>-24</v>
      </c>
      <c r="N29" s="235">
        <f t="shared" si="8"/>
        <v>0.43186180422264875</v>
      </c>
      <c r="O29" s="236">
        <v>1148</v>
      </c>
      <c r="P29" s="237">
        <v>46</v>
      </c>
      <c r="Q29" s="238"/>
      <c r="R29" s="239">
        <v>9</v>
      </c>
      <c r="S29" s="240">
        <v>25</v>
      </c>
      <c r="T29" s="308">
        <v>134</v>
      </c>
      <c r="U29" s="306">
        <v>1</v>
      </c>
      <c r="V29" s="242">
        <f t="shared" si="4"/>
        <v>15</v>
      </c>
      <c r="W29" s="241">
        <v>1359</v>
      </c>
      <c r="X29" s="235">
        <f t="shared" si="5"/>
        <v>9.9337748344370855E-2</v>
      </c>
      <c r="Y29" s="238"/>
      <c r="Z29" s="239">
        <v>14</v>
      </c>
      <c r="AA29" s="240">
        <v>25</v>
      </c>
      <c r="AB29" s="231">
        <v>244</v>
      </c>
      <c r="AC29" s="231">
        <v>0</v>
      </c>
      <c r="AD29" s="243">
        <f t="shared" si="6"/>
        <v>17.428571428571427</v>
      </c>
      <c r="AE29" s="241">
        <v>375</v>
      </c>
      <c r="AF29" s="235">
        <f t="shared" si="7"/>
        <v>0.65066666666666662</v>
      </c>
      <c r="AG29" s="244"/>
      <c r="AH29" s="245">
        <v>20</v>
      </c>
      <c r="AI29" s="245">
        <v>25</v>
      </c>
      <c r="AJ29" s="246">
        <v>278</v>
      </c>
      <c r="AK29" s="246">
        <v>0</v>
      </c>
      <c r="AL29" s="247">
        <f>(Table1[[#This Row],[FY22 Grads]]+Table1[[#This Row],[FY22 Fails]])/Table1[[#This Row],[FY22 Total Courses]]</f>
        <v>13.9</v>
      </c>
      <c r="AM29" s="248">
        <v>500</v>
      </c>
      <c r="AN29" s="235">
        <f t="shared" si="10"/>
        <v>0.55600000000000005</v>
      </c>
      <c r="AO29" s="331" t="s">
        <v>29</v>
      </c>
    </row>
    <row r="30" spans="1:41" s="249" customFormat="1" ht="30" x14ac:dyDescent="0.25">
      <c r="A30" s="227" t="s">
        <v>386</v>
      </c>
      <c r="B30" s="228" t="s">
        <v>90</v>
      </c>
      <c r="C30" s="250" t="s">
        <v>7</v>
      </c>
      <c r="D30" s="229" t="s">
        <v>94</v>
      </c>
      <c r="E30" s="229">
        <v>3882</v>
      </c>
      <c r="F30" s="230">
        <v>128</v>
      </c>
      <c r="G30" s="231">
        <v>25</v>
      </c>
      <c r="H30" s="232">
        <f t="shared" si="0"/>
        <v>5.12</v>
      </c>
      <c r="I30" s="233">
        <f t="shared" si="1"/>
        <v>6</v>
      </c>
      <c r="J30" s="234">
        <v>2</v>
      </c>
      <c r="K30" s="234">
        <v>16</v>
      </c>
      <c r="L30" s="234">
        <f t="shared" si="2"/>
        <v>32</v>
      </c>
      <c r="M30" s="230">
        <f t="shared" si="3"/>
        <v>-4</v>
      </c>
      <c r="N30" s="235">
        <f t="shared" si="8"/>
        <v>0.390625</v>
      </c>
      <c r="O30" s="236">
        <v>307</v>
      </c>
      <c r="P30" s="237">
        <v>13</v>
      </c>
      <c r="Q30" s="238"/>
      <c r="R30" s="239">
        <v>2</v>
      </c>
      <c r="S30" s="240">
        <v>25</v>
      </c>
      <c r="T30" s="308">
        <v>24</v>
      </c>
      <c r="U30" s="306">
        <v>0</v>
      </c>
      <c r="V30" s="242">
        <f t="shared" si="4"/>
        <v>12</v>
      </c>
      <c r="W30" s="241">
        <v>261</v>
      </c>
      <c r="X30" s="235">
        <f t="shared" si="5"/>
        <v>9.1954022988505746E-2</v>
      </c>
      <c r="Y30" s="238"/>
      <c r="Z30" s="239">
        <v>3</v>
      </c>
      <c r="AA30" s="240">
        <v>25</v>
      </c>
      <c r="AB30" s="231">
        <v>26</v>
      </c>
      <c r="AC30" s="231">
        <v>0</v>
      </c>
      <c r="AD30" s="243">
        <f t="shared" si="6"/>
        <v>8.6666666666666661</v>
      </c>
      <c r="AE30" s="241">
        <v>95</v>
      </c>
      <c r="AF30" s="235">
        <f t="shared" si="7"/>
        <v>0.27368421052631581</v>
      </c>
      <c r="AG30" s="244"/>
      <c r="AH30" s="245">
        <v>1</v>
      </c>
      <c r="AI30" s="245">
        <v>25</v>
      </c>
      <c r="AJ30" s="246">
        <v>9</v>
      </c>
      <c r="AK30" s="246">
        <v>0</v>
      </c>
      <c r="AL30" s="247">
        <f>(Table1[[#This Row],[FY22 Grads]]+Table1[[#This Row],[FY22 Fails]])/Table1[[#This Row],[FY22 Total Courses]]</f>
        <v>9</v>
      </c>
      <c r="AM30" s="248">
        <v>82</v>
      </c>
      <c r="AN30" s="235">
        <f t="shared" si="10"/>
        <v>0.10975609756097561</v>
      </c>
      <c r="AO30" s="331" t="s">
        <v>386</v>
      </c>
    </row>
    <row r="31" spans="1:41" s="249" customFormat="1" ht="30" x14ac:dyDescent="0.25">
      <c r="A31" s="227" t="s">
        <v>42</v>
      </c>
      <c r="B31" s="228" t="s">
        <v>90</v>
      </c>
      <c r="C31" s="250" t="s">
        <v>7</v>
      </c>
      <c r="D31" s="229" t="s">
        <v>92</v>
      </c>
      <c r="E31" s="229">
        <v>3879</v>
      </c>
      <c r="F31" s="230">
        <v>341</v>
      </c>
      <c r="G31" s="231">
        <v>30</v>
      </c>
      <c r="H31" s="232">
        <f t="shared" si="0"/>
        <v>11.366666666666667</v>
      </c>
      <c r="I31" s="233">
        <f t="shared" si="1"/>
        <v>12</v>
      </c>
      <c r="J31" s="234">
        <v>4</v>
      </c>
      <c r="K31" s="251">
        <v>0.5</v>
      </c>
      <c r="L31" s="234">
        <f t="shared" si="2"/>
        <v>2</v>
      </c>
      <c r="M31" s="230">
        <f t="shared" si="3"/>
        <v>-8</v>
      </c>
      <c r="N31" s="235">
        <f t="shared" si="8"/>
        <v>0.35190615835777128</v>
      </c>
      <c r="O31" s="236">
        <v>403</v>
      </c>
      <c r="P31" s="237">
        <v>14</v>
      </c>
      <c r="Q31" s="238"/>
      <c r="R31" s="239">
        <v>4</v>
      </c>
      <c r="S31" s="240">
        <v>30</v>
      </c>
      <c r="T31" s="308">
        <v>69</v>
      </c>
      <c r="U31" s="306">
        <v>1</v>
      </c>
      <c r="V31" s="242">
        <f t="shared" si="4"/>
        <v>17.5</v>
      </c>
      <c r="W31" s="241">
        <v>361</v>
      </c>
      <c r="X31" s="235">
        <f t="shared" si="5"/>
        <v>0.19390581717451524</v>
      </c>
      <c r="Y31" s="238"/>
      <c r="Z31" s="239">
        <v>4</v>
      </c>
      <c r="AA31" s="240">
        <v>30</v>
      </c>
      <c r="AB31" s="231">
        <v>68</v>
      </c>
      <c r="AC31" s="231">
        <v>0</v>
      </c>
      <c r="AD31" s="243">
        <f t="shared" si="6"/>
        <v>17</v>
      </c>
      <c r="AE31" s="241">
        <v>170</v>
      </c>
      <c r="AF31" s="235">
        <f t="shared" si="7"/>
        <v>0.4</v>
      </c>
      <c r="AG31" s="244"/>
      <c r="AH31" s="245">
        <v>4</v>
      </c>
      <c r="AI31" s="245">
        <v>25</v>
      </c>
      <c r="AJ31" s="246">
        <v>64</v>
      </c>
      <c r="AK31" s="246">
        <v>1</v>
      </c>
      <c r="AL31" s="247">
        <f>(Table1[[#This Row],[FY22 Grads]]+Table1[[#This Row],[FY22 Fails]])/Table1[[#This Row],[FY22 Total Courses]]</f>
        <v>16.25</v>
      </c>
      <c r="AM31" s="248">
        <v>107</v>
      </c>
      <c r="AN31" s="235">
        <f t="shared" si="10"/>
        <v>0.60747663551401865</v>
      </c>
      <c r="AO31" s="331" t="s">
        <v>42</v>
      </c>
    </row>
    <row r="32" spans="1:41" s="249" customFormat="1" ht="39" x14ac:dyDescent="0.25">
      <c r="A32" s="227" t="s">
        <v>397</v>
      </c>
      <c r="B32" s="228" t="s">
        <v>90</v>
      </c>
      <c r="C32" s="250" t="s">
        <v>7</v>
      </c>
      <c r="D32" s="229" t="s">
        <v>133</v>
      </c>
      <c r="E32" s="229">
        <v>5891</v>
      </c>
      <c r="F32" s="230">
        <v>813</v>
      </c>
      <c r="G32" s="231">
        <v>25</v>
      </c>
      <c r="H32" s="232">
        <f t="shared" si="0"/>
        <v>32.520000000000003</v>
      </c>
      <c r="I32" s="232">
        <f t="shared" si="1"/>
        <v>33</v>
      </c>
      <c r="J32" s="234">
        <v>11</v>
      </c>
      <c r="K32" s="234">
        <v>24</v>
      </c>
      <c r="L32" s="234">
        <f t="shared" si="2"/>
        <v>264</v>
      </c>
      <c r="M32" s="230">
        <f t="shared" si="3"/>
        <v>-22</v>
      </c>
      <c r="N32" s="235">
        <f t="shared" si="8"/>
        <v>0.33825338253382536</v>
      </c>
      <c r="O32" s="236">
        <v>797</v>
      </c>
      <c r="P32" s="237">
        <v>32</v>
      </c>
      <c r="Q32" s="238"/>
      <c r="R32" s="239">
        <v>7</v>
      </c>
      <c r="S32" s="240">
        <v>25</v>
      </c>
      <c r="T32" s="308">
        <v>77</v>
      </c>
      <c r="U32" s="306">
        <v>0</v>
      </c>
      <c r="V32" s="242">
        <f t="shared" si="4"/>
        <v>11</v>
      </c>
      <c r="W32" s="260">
        <v>930</v>
      </c>
      <c r="X32" s="235">
        <f t="shared" si="5"/>
        <v>8.2795698924731181E-2</v>
      </c>
      <c r="Y32" s="238"/>
      <c r="Z32" s="239">
        <v>8</v>
      </c>
      <c r="AA32" s="240">
        <v>25</v>
      </c>
      <c r="AB32" s="231">
        <v>91</v>
      </c>
      <c r="AC32" s="231">
        <v>0</v>
      </c>
      <c r="AD32" s="243">
        <f t="shared" si="6"/>
        <v>11.375</v>
      </c>
      <c r="AE32" s="260">
        <v>385</v>
      </c>
      <c r="AF32" s="235">
        <f t="shared" si="7"/>
        <v>0.23636363636363636</v>
      </c>
      <c r="AG32" s="244"/>
      <c r="AH32" s="245">
        <v>7</v>
      </c>
      <c r="AI32" s="245">
        <v>25</v>
      </c>
      <c r="AJ32" s="246">
        <v>105</v>
      </c>
      <c r="AK32" s="246">
        <v>0</v>
      </c>
      <c r="AL32" s="247">
        <f>(Table1[[#This Row],[FY22 Grads]]+Table1[[#This Row],[FY22 Fails]])/Table1[[#This Row],[FY22 Total Courses]]</f>
        <v>15</v>
      </c>
      <c r="AM32" s="248">
        <v>276</v>
      </c>
      <c r="AN32" s="235">
        <f t="shared" si="10"/>
        <v>0.38043478260869568</v>
      </c>
      <c r="AO32" s="331" t="s">
        <v>397</v>
      </c>
    </row>
    <row r="33" spans="1:41" s="249" customFormat="1" ht="30" x14ac:dyDescent="0.25">
      <c r="A33" s="252" t="s">
        <v>56</v>
      </c>
      <c r="B33" s="228" t="s">
        <v>103</v>
      </c>
      <c r="C33" s="250" t="s">
        <v>7</v>
      </c>
      <c r="D33" s="229" t="s">
        <v>108</v>
      </c>
      <c r="E33" s="229" t="s">
        <v>109</v>
      </c>
      <c r="F33" s="230">
        <v>620</v>
      </c>
      <c r="G33" s="231">
        <v>35</v>
      </c>
      <c r="H33" s="232">
        <f t="shared" si="0"/>
        <v>17.714285714285715</v>
      </c>
      <c r="I33" s="233">
        <f t="shared" si="1"/>
        <v>18</v>
      </c>
      <c r="J33" s="234">
        <v>5</v>
      </c>
      <c r="K33" s="234">
        <v>30</v>
      </c>
      <c r="L33" s="234">
        <f t="shared" si="2"/>
        <v>150</v>
      </c>
      <c r="M33" s="230">
        <f t="shared" si="3"/>
        <v>-13</v>
      </c>
      <c r="N33" s="235">
        <f t="shared" si="8"/>
        <v>0.28225806451612906</v>
      </c>
      <c r="O33" s="236">
        <v>418</v>
      </c>
      <c r="P33" s="237">
        <v>12</v>
      </c>
      <c r="Q33" s="238"/>
      <c r="R33" s="239">
        <v>7</v>
      </c>
      <c r="S33" s="240">
        <v>35</v>
      </c>
      <c r="T33" s="308">
        <v>126</v>
      </c>
      <c r="U33" s="306">
        <v>1</v>
      </c>
      <c r="V33" s="242">
        <f t="shared" si="4"/>
        <v>18.142857142857142</v>
      </c>
      <c r="W33" s="260">
        <v>494</v>
      </c>
      <c r="X33" s="235">
        <f t="shared" si="5"/>
        <v>0.25708502024291496</v>
      </c>
      <c r="Y33" s="238"/>
      <c r="Z33" s="239">
        <v>2</v>
      </c>
      <c r="AA33" s="240">
        <v>35</v>
      </c>
      <c r="AB33" s="231">
        <v>40</v>
      </c>
      <c r="AC33" s="231">
        <v>0</v>
      </c>
      <c r="AD33" s="243">
        <f t="shared" si="6"/>
        <v>20</v>
      </c>
      <c r="AE33" s="260">
        <v>266</v>
      </c>
      <c r="AF33" s="235">
        <f t="shared" si="7"/>
        <v>0.15037593984962405</v>
      </c>
      <c r="AG33" s="244"/>
      <c r="AH33" s="245">
        <v>1</v>
      </c>
      <c r="AI33" s="245">
        <v>25</v>
      </c>
      <c r="AJ33" s="246">
        <v>17</v>
      </c>
      <c r="AK33" s="246">
        <v>0</v>
      </c>
      <c r="AL33" s="247">
        <f>(Table1[[#This Row],[FY22 Grads]]+Table1[[#This Row],[FY22 Fails]])/Table1[[#This Row],[FY22 Total Courses]]</f>
        <v>17</v>
      </c>
      <c r="AM33" s="248">
        <v>353</v>
      </c>
      <c r="AN33" s="235">
        <f t="shared" si="10"/>
        <v>4.8158640226628892E-2</v>
      </c>
      <c r="AO33" s="331" t="s">
        <v>56</v>
      </c>
    </row>
    <row r="34" spans="1:41" s="249" customFormat="1" ht="15.75" x14ac:dyDescent="0.25">
      <c r="A34" s="227" t="s">
        <v>45</v>
      </c>
      <c r="B34" s="228" t="s">
        <v>90</v>
      </c>
      <c r="C34" s="250" t="s">
        <v>7</v>
      </c>
      <c r="D34" s="229" t="s">
        <v>96</v>
      </c>
      <c r="E34" s="229" t="s">
        <v>97</v>
      </c>
      <c r="F34" s="230">
        <v>197</v>
      </c>
      <c r="G34" s="231">
        <v>25</v>
      </c>
      <c r="H34" s="232">
        <f t="shared" si="0"/>
        <v>7.88</v>
      </c>
      <c r="I34" s="233">
        <f t="shared" si="1"/>
        <v>8</v>
      </c>
      <c r="J34" s="234">
        <v>2</v>
      </c>
      <c r="K34" s="234">
        <v>40</v>
      </c>
      <c r="L34" s="234">
        <f t="shared" si="2"/>
        <v>80</v>
      </c>
      <c r="M34" s="230">
        <f t="shared" si="3"/>
        <v>-6</v>
      </c>
      <c r="N34" s="235">
        <f t="shared" si="8"/>
        <v>0.25380710659898476</v>
      </c>
      <c r="O34" s="236">
        <v>330</v>
      </c>
      <c r="P34" s="237">
        <v>14</v>
      </c>
      <c r="Q34" s="238"/>
      <c r="R34" s="239">
        <v>2</v>
      </c>
      <c r="S34" s="240">
        <v>25</v>
      </c>
      <c r="T34" s="308">
        <v>19</v>
      </c>
      <c r="U34" s="306">
        <v>0</v>
      </c>
      <c r="V34" s="242">
        <f t="shared" si="4"/>
        <v>9.5</v>
      </c>
      <c r="W34" s="260">
        <v>291</v>
      </c>
      <c r="X34" s="235">
        <f t="shared" si="5"/>
        <v>6.5292096219931275E-2</v>
      </c>
      <c r="Y34" s="238"/>
      <c r="Z34" s="239">
        <v>3</v>
      </c>
      <c r="AA34" s="240">
        <v>25</v>
      </c>
      <c r="AB34" s="231">
        <v>22</v>
      </c>
      <c r="AC34" s="231">
        <v>0</v>
      </c>
      <c r="AD34" s="243">
        <f t="shared" si="6"/>
        <v>7.333333333333333</v>
      </c>
      <c r="AE34" s="260">
        <v>150</v>
      </c>
      <c r="AF34" s="235">
        <f t="shared" si="7"/>
        <v>0.14666666666666667</v>
      </c>
      <c r="AG34" s="244"/>
      <c r="AH34" s="245">
        <v>1</v>
      </c>
      <c r="AI34" s="245">
        <v>25</v>
      </c>
      <c r="AJ34" s="246">
        <v>5</v>
      </c>
      <c r="AK34" s="246">
        <v>0</v>
      </c>
      <c r="AL34" s="247">
        <f>(Table1[[#This Row],[FY22 Grads]]+Table1[[#This Row],[FY22 Fails]])/Table1[[#This Row],[FY22 Total Courses]]</f>
        <v>5</v>
      </c>
      <c r="AM34" s="248">
        <v>96</v>
      </c>
      <c r="AN34" s="235">
        <f t="shared" si="10"/>
        <v>5.2083333333333336E-2</v>
      </c>
      <c r="AO34" s="331" t="s">
        <v>45</v>
      </c>
    </row>
    <row r="35" spans="1:41" s="249" customFormat="1" ht="15.75" x14ac:dyDescent="0.25">
      <c r="A35" s="252" t="s">
        <v>388</v>
      </c>
      <c r="B35" s="228" t="s">
        <v>90</v>
      </c>
      <c r="C35" s="250" t="s">
        <v>7</v>
      </c>
      <c r="D35" s="229" t="s">
        <v>106</v>
      </c>
      <c r="E35" s="229" t="s">
        <v>107</v>
      </c>
      <c r="F35" s="230">
        <v>707</v>
      </c>
      <c r="G35" s="231">
        <v>25</v>
      </c>
      <c r="H35" s="232">
        <f t="shared" si="0"/>
        <v>28.28</v>
      </c>
      <c r="I35" s="233">
        <f t="shared" si="1"/>
        <v>29</v>
      </c>
      <c r="J35" s="234">
        <v>6</v>
      </c>
      <c r="K35" s="234">
        <v>40</v>
      </c>
      <c r="L35" s="234">
        <f t="shared" si="2"/>
        <v>240</v>
      </c>
      <c r="M35" s="230">
        <f t="shared" si="3"/>
        <v>-23</v>
      </c>
      <c r="N35" s="235">
        <f t="shared" si="8"/>
        <v>0.21216407355021216</v>
      </c>
      <c r="O35" s="236">
        <v>821</v>
      </c>
      <c r="P35" s="237">
        <v>33</v>
      </c>
      <c r="Q35" s="238"/>
      <c r="R35" s="239">
        <v>10</v>
      </c>
      <c r="S35" s="240">
        <v>25</v>
      </c>
      <c r="T35" s="307">
        <v>145</v>
      </c>
      <c r="U35" s="306">
        <v>12</v>
      </c>
      <c r="V35" s="242">
        <f t="shared" si="4"/>
        <v>15.7</v>
      </c>
      <c r="W35" s="260">
        <v>860</v>
      </c>
      <c r="X35" s="235">
        <f t="shared" si="5"/>
        <v>0.18255813953488373</v>
      </c>
      <c r="Y35" s="238"/>
      <c r="Z35" s="239">
        <v>7</v>
      </c>
      <c r="AA35" s="240">
        <v>25</v>
      </c>
      <c r="AB35" s="231">
        <v>124</v>
      </c>
      <c r="AC35" s="231">
        <v>19</v>
      </c>
      <c r="AD35" s="243">
        <f t="shared" si="6"/>
        <v>20.428571428571427</v>
      </c>
      <c r="AE35" s="260">
        <v>603</v>
      </c>
      <c r="AF35" s="235">
        <f t="shared" si="7"/>
        <v>0.23714759535655058</v>
      </c>
      <c r="AG35" s="244"/>
      <c r="AH35" s="245">
        <v>5</v>
      </c>
      <c r="AI35" s="245">
        <v>25</v>
      </c>
      <c r="AJ35" s="246">
        <v>82</v>
      </c>
      <c r="AK35" s="246">
        <v>9</v>
      </c>
      <c r="AL35" s="247">
        <f>(Table1[[#This Row],[FY22 Grads]]+Table1[[#This Row],[FY22 Fails]])/Table1[[#This Row],[FY22 Total Courses]]</f>
        <v>18.2</v>
      </c>
      <c r="AM35" s="248">
        <v>602</v>
      </c>
      <c r="AN35" s="235">
        <f t="shared" si="10"/>
        <v>0.15116279069767441</v>
      </c>
      <c r="AO35" s="331" t="s">
        <v>388</v>
      </c>
    </row>
    <row r="36" spans="1:41" s="249" customFormat="1" ht="15.75" x14ac:dyDescent="0.25">
      <c r="A36" s="227" t="s">
        <v>41</v>
      </c>
      <c r="B36" s="228" t="s">
        <v>90</v>
      </c>
      <c r="C36" s="250" t="s">
        <v>7</v>
      </c>
      <c r="D36" s="229" t="s">
        <v>91</v>
      </c>
      <c r="E36" s="229">
        <v>3878</v>
      </c>
      <c r="F36" s="230">
        <v>325</v>
      </c>
      <c r="G36" s="231">
        <v>25</v>
      </c>
      <c r="H36" s="232">
        <f t="shared" si="0"/>
        <v>13</v>
      </c>
      <c r="I36" s="232">
        <f t="shared" si="1"/>
        <v>13</v>
      </c>
      <c r="J36" s="234">
        <v>2</v>
      </c>
      <c r="K36" s="234">
        <v>24</v>
      </c>
      <c r="L36" s="234">
        <f t="shared" si="2"/>
        <v>48</v>
      </c>
      <c r="M36" s="230">
        <f t="shared" si="3"/>
        <v>-11</v>
      </c>
      <c r="N36" s="235">
        <f t="shared" si="8"/>
        <v>0.15384615384615385</v>
      </c>
      <c r="O36" s="236">
        <v>463</v>
      </c>
      <c r="P36" s="237">
        <v>19</v>
      </c>
      <c r="Q36" s="238"/>
      <c r="R36" s="239">
        <v>2</v>
      </c>
      <c r="S36" s="240">
        <v>25</v>
      </c>
      <c r="T36" s="308">
        <v>31</v>
      </c>
      <c r="U36" s="306">
        <v>1</v>
      </c>
      <c r="V36" s="242">
        <f t="shared" si="4"/>
        <v>16</v>
      </c>
      <c r="W36" s="260">
        <v>384</v>
      </c>
      <c r="X36" s="235">
        <f t="shared" si="5"/>
        <v>8.3333333333333329E-2</v>
      </c>
      <c r="Y36" s="238"/>
      <c r="Z36" s="239">
        <v>3</v>
      </c>
      <c r="AA36" s="240">
        <v>25</v>
      </c>
      <c r="AB36" s="231">
        <v>51</v>
      </c>
      <c r="AC36" s="231">
        <v>0</v>
      </c>
      <c r="AD36" s="243">
        <f t="shared" si="6"/>
        <v>17</v>
      </c>
      <c r="AE36" s="260">
        <v>215</v>
      </c>
      <c r="AF36" s="235">
        <f t="shared" si="7"/>
        <v>0.23720930232558141</v>
      </c>
      <c r="AG36" s="244"/>
      <c r="AH36" s="245">
        <v>1</v>
      </c>
      <c r="AI36" s="245">
        <v>25</v>
      </c>
      <c r="AJ36" s="246">
        <v>10</v>
      </c>
      <c r="AK36" s="246">
        <v>0</v>
      </c>
      <c r="AL36" s="247">
        <f>(Table1[[#This Row],[FY22 Grads]]+Table1[[#This Row],[FY22 Fails]])/Table1[[#This Row],[FY22 Total Courses]]</f>
        <v>10</v>
      </c>
      <c r="AM36" s="248">
        <v>179</v>
      </c>
      <c r="AN36" s="235">
        <f t="shared" si="10"/>
        <v>5.5865921787709494E-2</v>
      </c>
      <c r="AO36" s="331" t="s">
        <v>41</v>
      </c>
    </row>
    <row r="37" spans="1:41" s="249" customFormat="1" ht="16.5" thickBot="1" x14ac:dyDescent="0.3">
      <c r="A37" s="252" t="s">
        <v>399</v>
      </c>
      <c r="B37" s="228" t="s">
        <v>85</v>
      </c>
      <c r="C37" s="250" t="s">
        <v>7</v>
      </c>
      <c r="D37" s="229" t="s">
        <v>154</v>
      </c>
      <c r="E37" s="229" t="s">
        <v>155</v>
      </c>
      <c r="F37" s="230">
        <v>397</v>
      </c>
      <c r="G37" s="231">
        <v>25</v>
      </c>
      <c r="H37" s="232">
        <f t="shared" si="0"/>
        <v>15.88</v>
      </c>
      <c r="I37" s="233">
        <f t="shared" si="1"/>
        <v>16</v>
      </c>
      <c r="J37" s="234">
        <v>2</v>
      </c>
      <c r="K37" s="234">
        <v>40</v>
      </c>
      <c r="L37" s="234">
        <f t="shared" si="2"/>
        <v>80</v>
      </c>
      <c r="M37" s="230">
        <f t="shared" si="3"/>
        <v>-14</v>
      </c>
      <c r="N37" s="235">
        <f t="shared" si="8"/>
        <v>0.12594458438287154</v>
      </c>
      <c r="O37" s="236">
        <v>66</v>
      </c>
      <c r="P37" s="237">
        <v>3</v>
      </c>
      <c r="Q37" s="238"/>
      <c r="R37" s="239">
        <v>4</v>
      </c>
      <c r="S37" s="240">
        <v>25</v>
      </c>
      <c r="T37" s="333">
        <v>81</v>
      </c>
      <c r="U37" s="306">
        <v>0</v>
      </c>
      <c r="V37" s="242">
        <f t="shared" si="4"/>
        <v>20.25</v>
      </c>
      <c r="W37" s="260">
        <v>126</v>
      </c>
      <c r="X37" s="235">
        <f t="shared" si="5"/>
        <v>0.6428571428571429</v>
      </c>
      <c r="Y37" s="238"/>
      <c r="Z37" s="239">
        <v>2</v>
      </c>
      <c r="AA37" s="240">
        <v>25</v>
      </c>
      <c r="AB37" s="231">
        <v>38</v>
      </c>
      <c r="AC37" s="231">
        <v>0</v>
      </c>
      <c r="AD37" s="243">
        <f t="shared" si="6"/>
        <v>19</v>
      </c>
      <c r="AE37" s="253">
        <v>100</v>
      </c>
      <c r="AF37" s="235">
        <f t="shared" si="7"/>
        <v>0.38</v>
      </c>
      <c r="AG37" s="244"/>
      <c r="AH37" s="245">
        <v>1</v>
      </c>
      <c r="AI37" s="245">
        <v>25</v>
      </c>
      <c r="AJ37" s="246">
        <v>25</v>
      </c>
      <c r="AK37" s="246">
        <v>0</v>
      </c>
      <c r="AL37" s="247">
        <f>(Table1[[#This Row],[FY22 Grads]]+Table1[[#This Row],[FY22 Fails]])/Table1[[#This Row],[FY22 Total Courses]]</f>
        <v>25</v>
      </c>
      <c r="AM37" s="248">
        <v>25</v>
      </c>
      <c r="AN37" s="263">
        <f t="shared" si="10"/>
        <v>1</v>
      </c>
      <c r="AO37" s="331" t="s">
        <v>399</v>
      </c>
    </row>
    <row r="38" spans="1:41" s="249" customFormat="1" ht="45" x14ac:dyDescent="0.25">
      <c r="A38" s="227" t="s">
        <v>423</v>
      </c>
      <c r="B38" s="228" t="s">
        <v>90</v>
      </c>
      <c r="C38" s="228" t="s">
        <v>86</v>
      </c>
      <c r="D38" s="229" t="s">
        <v>330</v>
      </c>
      <c r="E38" s="229" t="s">
        <v>330</v>
      </c>
      <c r="F38" s="230">
        <v>578</v>
      </c>
      <c r="G38" s="231">
        <v>45</v>
      </c>
      <c r="H38" s="232">
        <f t="shared" si="0"/>
        <v>12.844444444444445</v>
      </c>
      <c r="I38" s="233">
        <f t="shared" si="1"/>
        <v>13</v>
      </c>
      <c r="J38" s="234"/>
      <c r="K38" s="234"/>
      <c r="L38" s="234">
        <f t="shared" ref="L38:L40" si="11">SUM(K38*J38)</f>
        <v>0</v>
      </c>
      <c r="M38" s="230">
        <f t="shared" si="3"/>
        <v>-13</v>
      </c>
      <c r="N38" s="235">
        <f t="shared" si="8"/>
        <v>0</v>
      </c>
      <c r="O38" s="236"/>
      <c r="P38" s="237"/>
      <c r="Q38" s="238"/>
      <c r="R38" s="239"/>
      <c r="S38" s="240"/>
      <c r="T38" s="335"/>
      <c r="U38" s="231">
        <v>0</v>
      </c>
      <c r="V38" s="242"/>
      <c r="W38" s="231"/>
      <c r="X38" s="235"/>
      <c r="Y38" s="238"/>
      <c r="Z38" s="239"/>
      <c r="AA38" s="264"/>
      <c r="AB38" s="231"/>
      <c r="AC38" s="231"/>
      <c r="AD38" s="243"/>
      <c r="AE38" s="253"/>
      <c r="AF38" s="235"/>
      <c r="AG38" s="244"/>
      <c r="AH38" s="245"/>
      <c r="AI38" s="245"/>
      <c r="AJ38" s="246"/>
      <c r="AK38" s="246"/>
      <c r="AL38" s="247"/>
      <c r="AM38" s="248"/>
      <c r="AN38" s="235"/>
      <c r="AO38" s="331" t="s">
        <v>423</v>
      </c>
    </row>
    <row r="39" spans="1:41" s="249" customFormat="1" ht="15.75" x14ac:dyDescent="0.25">
      <c r="A39" s="227" t="s">
        <v>338</v>
      </c>
      <c r="B39" s="228" t="s">
        <v>100</v>
      </c>
      <c r="C39" s="228" t="s">
        <v>7</v>
      </c>
      <c r="D39" s="229" t="s">
        <v>339</v>
      </c>
      <c r="E39" s="229" t="s">
        <v>534</v>
      </c>
      <c r="F39" s="230">
        <v>711</v>
      </c>
      <c r="G39" s="231">
        <v>20</v>
      </c>
      <c r="H39" s="232">
        <f t="shared" si="0"/>
        <v>35.549999999999997</v>
      </c>
      <c r="I39" s="233">
        <f t="shared" si="1"/>
        <v>36</v>
      </c>
      <c r="J39" s="309">
        <v>4</v>
      </c>
      <c r="K39" s="309">
        <v>40</v>
      </c>
      <c r="L39" s="234">
        <f t="shared" si="11"/>
        <v>160</v>
      </c>
      <c r="M39" s="265">
        <f t="shared" si="3"/>
        <v>-32</v>
      </c>
      <c r="N39" s="266">
        <f t="shared" si="8"/>
        <v>0.11251758087201125</v>
      </c>
      <c r="O39" s="236"/>
      <c r="P39" s="237"/>
      <c r="Q39" s="238"/>
      <c r="R39" s="239">
        <v>3</v>
      </c>
      <c r="S39" s="240">
        <v>20</v>
      </c>
      <c r="T39" s="334">
        <v>58</v>
      </c>
      <c r="U39" s="231">
        <v>0</v>
      </c>
      <c r="V39" s="242">
        <f>AVERAGE(T39+U39)/R39</f>
        <v>19.333333333333332</v>
      </c>
      <c r="W39" s="336"/>
      <c r="X39" s="235"/>
      <c r="Y39" s="238"/>
      <c r="Z39" s="239"/>
      <c r="AA39" s="264"/>
      <c r="AB39" s="231"/>
      <c r="AC39" s="231"/>
      <c r="AD39" s="243"/>
      <c r="AE39" s="261"/>
      <c r="AF39" s="235"/>
      <c r="AG39" s="244"/>
      <c r="AH39" s="245"/>
      <c r="AI39" s="245"/>
      <c r="AJ39" s="246"/>
      <c r="AK39" s="246"/>
      <c r="AL39" s="247"/>
      <c r="AM39" s="248"/>
      <c r="AN39" s="235"/>
      <c r="AO39" s="331" t="s">
        <v>338</v>
      </c>
    </row>
    <row r="40" spans="1:41" s="249" customFormat="1" ht="30.75" thickBot="1" x14ac:dyDescent="0.3">
      <c r="A40" s="267" t="s">
        <v>588</v>
      </c>
      <c r="B40" s="228" t="s">
        <v>103</v>
      </c>
      <c r="C40" s="268" t="s">
        <v>86</v>
      </c>
      <c r="D40" s="269" t="s">
        <v>330</v>
      </c>
      <c r="E40" s="269" t="s">
        <v>330</v>
      </c>
      <c r="F40" s="270">
        <v>1178</v>
      </c>
      <c r="G40" s="271">
        <v>45</v>
      </c>
      <c r="H40" s="272">
        <f t="shared" si="0"/>
        <v>26.177777777777777</v>
      </c>
      <c r="I40" s="272">
        <f t="shared" si="1"/>
        <v>27</v>
      </c>
      <c r="J40" s="309"/>
      <c r="K40" s="309"/>
      <c r="L40" s="234">
        <f t="shared" si="11"/>
        <v>0</v>
      </c>
      <c r="M40" s="265">
        <f t="shared" si="3"/>
        <v>-27</v>
      </c>
      <c r="N40" s="266">
        <f t="shared" si="8"/>
        <v>0</v>
      </c>
      <c r="O40" s="273"/>
      <c r="P40" s="274"/>
      <c r="Q40" s="238"/>
      <c r="R40" s="239"/>
      <c r="S40" s="239"/>
      <c r="T40" s="231"/>
      <c r="U40" s="231"/>
      <c r="V40" s="242"/>
      <c r="W40" s="231"/>
      <c r="X40" s="235"/>
      <c r="Y40" s="238"/>
      <c r="Z40" s="239"/>
      <c r="AA40" s="264"/>
      <c r="AB40" s="231"/>
      <c r="AC40" s="231"/>
      <c r="AD40" s="243"/>
      <c r="AE40" s="253"/>
      <c r="AF40" s="235"/>
      <c r="AG40" s="244"/>
      <c r="AH40" s="275"/>
      <c r="AI40" s="275"/>
      <c r="AJ40" s="276"/>
      <c r="AK40" s="276"/>
      <c r="AL40" s="277"/>
      <c r="AM40" s="278"/>
      <c r="AN40" s="266"/>
      <c r="AO40" s="332" t="s">
        <v>588</v>
      </c>
    </row>
    <row r="41" spans="1:41" s="249" customFormat="1" ht="15.75" thickBot="1" x14ac:dyDescent="0.3">
      <c r="A41" s="279" t="s">
        <v>62</v>
      </c>
      <c r="B41" s="280"/>
      <c r="C41" s="280"/>
      <c r="D41" s="280"/>
      <c r="E41" s="280"/>
      <c r="F41" s="281">
        <f>SUBTOTAL(109,F2:F40)</f>
        <v>29331</v>
      </c>
      <c r="G41" s="282"/>
      <c r="H41" s="282"/>
      <c r="I41" s="282">
        <f>SUBTOTAL(109,Table1[FY25Courses Needed Round Up])</f>
        <v>872</v>
      </c>
      <c r="J41" s="282">
        <f>SUM(J2:J40)</f>
        <v>501</v>
      </c>
      <c r="K41" s="282"/>
      <c r="L41" s="282"/>
      <c r="M41" s="282">
        <f>SUM(J41-I41)</f>
        <v>-371</v>
      </c>
      <c r="N41" s="282"/>
      <c r="O41" s="283">
        <f>SUBTOTAL(109,Table1[Quotas: All Data])</f>
        <v>27097</v>
      </c>
      <c r="P41" s="283">
        <f>SUBTOTAL(109,Table1[Courses Needed: All Data])</f>
        <v>890</v>
      </c>
      <c r="Q41" s="284"/>
      <c r="R41" s="234">
        <f>SUM(R2:R40)</f>
        <v>433</v>
      </c>
      <c r="S41" s="234">
        <f>SUM(S2:S40)</f>
        <v>1255</v>
      </c>
      <c r="T41" s="234">
        <f>SUM(T2:T40)</f>
        <v>10648</v>
      </c>
      <c r="U41" s="234">
        <f>SUBTOTAL(109,U2:U40)</f>
        <v>216</v>
      </c>
      <c r="V41" s="234"/>
      <c r="W41" s="285">
        <f>SUM(W2:W40)</f>
        <v>26845</v>
      </c>
      <c r="X41" s="234"/>
      <c r="Y41" s="284"/>
      <c r="Z41" s="234">
        <f>SUM(Z2:Z40)</f>
        <v>431</v>
      </c>
      <c r="AA41" s="234">
        <f>SUM(AA2:AA40)</f>
        <v>1120</v>
      </c>
      <c r="AB41" s="234">
        <f>SUM(AB2:AB40)</f>
        <v>10137</v>
      </c>
      <c r="AC41" s="234">
        <f>SUM(AK2:AK40)</f>
        <v>173</v>
      </c>
      <c r="AD41" s="234"/>
      <c r="AE41" s="285">
        <f>SUM(AE2:AE40)</f>
        <v>15180</v>
      </c>
      <c r="AF41" s="234"/>
      <c r="AG41" s="286"/>
      <c r="AH41" s="234">
        <f>SUBTOTAL(109,Table1[FY22 Total Courses])</f>
        <v>351</v>
      </c>
      <c r="AI41" s="234">
        <f>SUM(AI2:AI40)</f>
        <v>1000</v>
      </c>
      <c r="AJ41" s="234">
        <f>SUM(AJ2:AJ40)</f>
        <v>8105</v>
      </c>
      <c r="AK41" s="234">
        <f>SUM(AK2:AK40)</f>
        <v>173</v>
      </c>
      <c r="AL41" s="234"/>
      <c r="AM41" s="285">
        <f>SUM(AM2:AM40)</f>
        <v>10947</v>
      </c>
      <c r="AN41" s="287"/>
      <c r="AO41" s="288" t="s">
        <v>62</v>
      </c>
    </row>
    <row r="42" spans="1:41" x14ac:dyDescent="0.25">
      <c r="A42" s="289" t="s">
        <v>589</v>
      </c>
    </row>
    <row r="43" spans="1:41" x14ac:dyDescent="0.25">
      <c r="AG43" s="290"/>
      <c r="AI43" s="14"/>
    </row>
    <row r="44" spans="1:41" x14ac:dyDescent="0.25">
      <c r="AH44" s="14"/>
      <c r="AI44" s="14"/>
    </row>
    <row r="45" spans="1:41" x14ac:dyDescent="0.25">
      <c r="AH45" s="14"/>
      <c r="AI45" s="14"/>
    </row>
    <row r="46" spans="1:41" x14ac:dyDescent="0.25">
      <c r="AH46" s="14"/>
      <c r="AI46" s="14"/>
    </row>
    <row r="47" spans="1:41" x14ac:dyDescent="0.25">
      <c r="AH47" s="14"/>
      <c r="AI47" s="14"/>
    </row>
    <row r="48" spans="1:41" x14ac:dyDescent="0.25">
      <c r="AH48" s="14"/>
      <c r="AI48" s="14"/>
    </row>
    <row r="49" spans="34:35" x14ac:dyDescent="0.25">
      <c r="AH49" s="14"/>
      <c r="AI49" s="14"/>
    </row>
    <row r="50" spans="34:35" x14ac:dyDescent="0.25">
      <c r="AH50" s="14"/>
      <c r="AI50" s="14"/>
    </row>
    <row r="51" spans="34:35" x14ac:dyDescent="0.25">
      <c r="AH51" s="14"/>
      <c r="AI51" s="14"/>
    </row>
    <row r="52" spans="34:35" x14ac:dyDescent="0.25">
      <c r="AH52" s="14"/>
      <c r="AI52" s="14"/>
    </row>
    <row r="53" spans="34:35" x14ac:dyDescent="0.25">
      <c r="AH53" s="14"/>
      <c r="AI53" s="14"/>
    </row>
    <row r="54" spans="34:35" x14ac:dyDescent="0.25">
      <c r="AH54" s="14"/>
      <c r="AI54" s="14"/>
    </row>
    <row r="55" spans="34:35" x14ac:dyDescent="0.25">
      <c r="AH55" s="14"/>
      <c r="AI55" s="14"/>
    </row>
    <row r="56" spans="34:35" x14ac:dyDescent="0.25">
      <c r="AH56" s="14"/>
      <c r="AI56" s="14"/>
    </row>
    <row r="57" spans="34:35" x14ac:dyDescent="0.25">
      <c r="AH57" s="14"/>
      <c r="AI57" s="14"/>
    </row>
    <row r="58" spans="34:35" x14ac:dyDescent="0.25">
      <c r="AH58" s="14"/>
      <c r="AI58" s="14"/>
    </row>
  </sheetData>
  <conditionalFormatting sqref="S2:S39">
    <cfRule type="cellIs" dxfId="1" priority="1" operator="lessThan">
      <formula>0</formula>
    </cfRule>
  </conditionalFormatting>
  <conditionalFormatting sqref="W2:W31 AE2:AE31 AA2:AA37 W33:W35 AE33:AE38 W37:W39">
    <cfRule type="cellIs" dxfId="0" priority="2" operator="lessThan">
      <formula>0</formula>
    </cfRule>
  </conditionalFormatting>
  <pageMargins left="0.7" right="0.7" top="0.75" bottom="0.75" header="0.3" footer="0.3"/>
  <pageSetup paperSize="5" scale="99" fitToHeight="0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6F9A-A355-4F96-9CE8-CD34FE99F395}">
  <dimension ref="A1:Y4"/>
  <sheetViews>
    <sheetView workbookViewId="0"/>
  </sheetViews>
  <sheetFormatPr defaultRowHeight="15" x14ac:dyDescent="0.25"/>
  <cols>
    <col min="1" max="1" width="22.28515625" bestFit="1" customWidth="1"/>
    <col min="2" max="2" width="31.2851562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590</v>
      </c>
    </row>
    <row r="3" spans="1:25" x14ac:dyDescent="0.25">
      <c r="A3" t="s">
        <v>384</v>
      </c>
      <c r="B3" t="s">
        <v>385</v>
      </c>
      <c r="C3" t="s">
        <v>41</v>
      </c>
      <c r="D3" t="s">
        <v>42</v>
      </c>
      <c r="E3" t="s">
        <v>386</v>
      </c>
      <c r="F3" t="s">
        <v>44</v>
      </c>
      <c r="G3" t="s">
        <v>45</v>
      </c>
      <c r="H3" t="s">
        <v>46</v>
      </c>
      <c r="I3" t="s">
        <v>387</v>
      </c>
      <c r="J3" t="s">
        <v>388</v>
      </c>
      <c r="K3" t="s">
        <v>56</v>
      </c>
      <c r="L3" t="s">
        <v>48</v>
      </c>
      <c r="M3" t="s">
        <v>389</v>
      </c>
      <c r="N3" t="s">
        <v>390</v>
      </c>
      <c r="O3" t="s">
        <v>391</v>
      </c>
      <c r="P3" t="s">
        <v>392</v>
      </c>
      <c r="Q3" t="s">
        <v>393</v>
      </c>
      <c r="R3" t="s">
        <v>394</v>
      </c>
      <c r="S3" t="s">
        <v>395</v>
      </c>
      <c r="T3" t="s">
        <v>396</v>
      </c>
      <c r="U3" t="s">
        <v>397</v>
      </c>
      <c r="V3" t="s">
        <v>398</v>
      </c>
      <c r="W3" t="s">
        <v>53</v>
      </c>
      <c r="X3" t="s">
        <v>399</v>
      </c>
      <c r="Y3" t="s">
        <v>400</v>
      </c>
    </row>
    <row r="4" spans="1:25" x14ac:dyDescent="0.25">
      <c r="A4" t="s">
        <v>403</v>
      </c>
      <c r="B4" t="s">
        <v>591</v>
      </c>
      <c r="C4" t="s">
        <v>592</v>
      </c>
      <c r="N4">
        <v>20</v>
      </c>
      <c r="S4">
        <v>5</v>
      </c>
      <c r="T4">
        <v>5</v>
      </c>
      <c r="Y4">
        <v>30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5A3A-4960-406A-AACD-DCCCF53F6CA6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593</v>
      </c>
    </row>
    <row r="3" spans="1:25" x14ac:dyDescent="0.25">
      <c r="A3" t="s">
        <v>384</v>
      </c>
      <c r="B3" t="s">
        <v>385</v>
      </c>
      <c r="C3" t="s">
        <v>41</v>
      </c>
      <c r="D3" t="s">
        <v>42</v>
      </c>
      <c r="E3" t="s">
        <v>386</v>
      </c>
      <c r="F3" t="s">
        <v>44</v>
      </c>
      <c r="G3" t="s">
        <v>45</v>
      </c>
      <c r="H3" t="s">
        <v>46</v>
      </c>
      <c r="I3" t="s">
        <v>387</v>
      </c>
      <c r="J3" t="s">
        <v>388</v>
      </c>
      <c r="K3" t="s">
        <v>56</v>
      </c>
      <c r="L3" t="s">
        <v>48</v>
      </c>
      <c r="M3" t="s">
        <v>389</v>
      </c>
      <c r="N3" t="s">
        <v>390</v>
      </c>
      <c r="O3" t="s">
        <v>391</v>
      </c>
      <c r="P3" t="s">
        <v>392</v>
      </c>
      <c r="Q3" t="s">
        <v>393</v>
      </c>
      <c r="R3" t="s">
        <v>394</v>
      </c>
      <c r="S3" t="s">
        <v>395</v>
      </c>
      <c r="T3" t="s">
        <v>396</v>
      </c>
      <c r="U3" t="s">
        <v>397</v>
      </c>
      <c r="V3" t="s">
        <v>398</v>
      </c>
      <c r="W3" t="s">
        <v>53</v>
      </c>
      <c r="X3" t="s">
        <v>399</v>
      </c>
      <c r="Y3" t="s">
        <v>400</v>
      </c>
    </row>
    <row r="4" spans="1:25" x14ac:dyDescent="0.25">
      <c r="A4" t="s">
        <v>401</v>
      </c>
      <c r="B4" t="s">
        <v>205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412</v>
      </c>
      <c r="B5" t="s">
        <v>205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408</v>
      </c>
      <c r="B6" t="s">
        <v>205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406</v>
      </c>
      <c r="B7" t="s">
        <v>205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407</v>
      </c>
      <c r="B8" t="s">
        <v>205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411</v>
      </c>
      <c r="B9" t="s">
        <v>205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422</v>
      </c>
      <c r="B10" t="s">
        <v>205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404</v>
      </c>
      <c r="B11" t="s">
        <v>205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403</v>
      </c>
      <c r="B12" t="s">
        <v>205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402</v>
      </c>
      <c r="B13" t="s">
        <v>205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410</v>
      </c>
      <c r="B14" t="s">
        <v>205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405</v>
      </c>
      <c r="B15" t="s">
        <v>205</v>
      </c>
      <c r="Y15">
        <v>0</v>
      </c>
    </row>
    <row r="16" spans="1:25" x14ac:dyDescent="0.25">
      <c r="A16" t="s">
        <v>409</v>
      </c>
      <c r="B16" t="s">
        <v>205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0A6B-12D7-4919-A474-0D5AB46DF7F0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593</v>
      </c>
    </row>
    <row r="3" spans="1:25" x14ac:dyDescent="0.25">
      <c r="A3" t="s">
        <v>384</v>
      </c>
      <c r="B3" t="s">
        <v>385</v>
      </c>
      <c r="C3" t="s">
        <v>41</v>
      </c>
      <c r="D3" t="s">
        <v>42</v>
      </c>
      <c r="E3" t="s">
        <v>386</v>
      </c>
      <c r="F3" t="s">
        <v>44</v>
      </c>
      <c r="G3" t="s">
        <v>45</v>
      </c>
      <c r="H3" t="s">
        <v>46</v>
      </c>
      <c r="I3" t="s">
        <v>387</v>
      </c>
      <c r="J3" t="s">
        <v>388</v>
      </c>
      <c r="K3" t="s">
        <v>56</v>
      </c>
      <c r="L3" t="s">
        <v>48</v>
      </c>
      <c r="M3" t="s">
        <v>389</v>
      </c>
      <c r="N3" t="s">
        <v>390</v>
      </c>
      <c r="O3" t="s">
        <v>391</v>
      </c>
      <c r="P3" t="s">
        <v>392</v>
      </c>
      <c r="Q3" t="s">
        <v>393</v>
      </c>
      <c r="R3" t="s">
        <v>394</v>
      </c>
      <c r="S3" t="s">
        <v>395</v>
      </c>
      <c r="T3" t="s">
        <v>396</v>
      </c>
      <c r="U3" t="s">
        <v>397</v>
      </c>
      <c r="V3" t="s">
        <v>398</v>
      </c>
      <c r="W3" t="s">
        <v>53</v>
      </c>
      <c r="X3" t="s">
        <v>399</v>
      </c>
      <c r="Y3" t="s">
        <v>400</v>
      </c>
    </row>
    <row r="4" spans="1:25" x14ac:dyDescent="0.25">
      <c r="A4" t="s">
        <v>401</v>
      </c>
      <c r="B4" t="s">
        <v>205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412</v>
      </c>
      <c r="B5" t="s">
        <v>205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408</v>
      </c>
      <c r="B6" t="s">
        <v>205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406</v>
      </c>
      <c r="B7" t="s">
        <v>205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407</v>
      </c>
      <c r="B8" t="s">
        <v>205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411</v>
      </c>
      <c r="B9" t="s">
        <v>205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422</v>
      </c>
      <c r="B10" t="s">
        <v>205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404</v>
      </c>
      <c r="B11" t="s">
        <v>205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403</v>
      </c>
      <c r="B12" t="s">
        <v>205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402</v>
      </c>
      <c r="B13" t="s">
        <v>205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410</v>
      </c>
      <c r="B14" t="s">
        <v>205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405</v>
      </c>
      <c r="B15" t="s">
        <v>205</v>
      </c>
      <c r="Y15">
        <v>0</v>
      </c>
    </row>
    <row r="16" spans="1:25" x14ac:dyDescent="0.25">
      <c r="A16" t="s">
        <v>409</v>
      </c>
      <c r="B16" t="s">
        <v>205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F851-5F6B-4F39-AED9-69025391C2E7}">
  <sheetPr>
    <tabColor theme="7" tint="0.39997558519241921"/>
  </sheetPr>
  <dimension ref="A1:H22"/>
  <sheetViews>
    <sheetView workbookViewId="0">
      <selection activeCell="D14" sqref="D14"/>
    </sheetView>
  </sheetViews>
  <sheetFormatPr defaultColWidth="9.140625" defaultRowHeight="15" x14ac:dyDescent="0.25"/>
  <cols>
    <col min="1" max="1" width="76.7109375" customWidth="1"/>
    <col min="2" max="2" width="24.5703125" customWidth="1"/>
    <col min="3" max="3" width="32.7109375" customWidth="1"/>
    <col min="4" max="4" width="22.28515625" customWidth="1"/>
    <col min="5" max="5" width="21.5703125" customWidth="1"/>
    <col min="6" max="6" width="30.140625" customWidth="1"/>
    <col min="7" max="7" width="26.7109375" customWidth="1"/>
    <col min="8" max="8" width="9.140625" customWidth="1"/>
    <col min="9" max="9" width="38.42578125" customWidth="1"/>
    <col min="10" max="10" width="51.7109375" customWidth="1"/>
    <col min="11" max="11" width="42.140625" customWidth="1"/>
    <col min="12" max="12" width="37.28515625" customWidth="1"/>
    <col min="13" max="13" width="36.140625" customWidth="1"/>
    <col min="14" max="14" width="51.7109375" customWidth="1"/>
    <col min="15" max="15" width="42.140625" customWidth="1"/>
    <col min="16" max="16" width="37.28515625" customWidth="1"/>
    <col min="17" max="17" width="42.140625" customWidth="1"/>
    <col min="18" max="18" width="40.28515625" customWidth="1"/>
    <col min="19" max="19" width="53.42578125" customWidth="1"/>
    <col min="20" max="20" width="42.5703125" customWidth="1"/>
    <col min="21" max="21" width="40.28515625" customWidth="1"/>
    <col min="22" max="22" width="53.42578125" customWidth="1"/>
    <col min="23" max="23" width="37.28515625" customWidth="1"/>
    <col min="24" max="24" width="35.140625" customWidth="1"/>
    <col min="25" max="25" width="48.28515625" customWidth="1"/>
    <col min="26" max="26" width="35.85546875" customWidth="1"/>
    <col min="27" max="27" width="33.7109375" customWidth="1"/>
    <col min="28" max="28" width="46.85546875" customWidth="1"/>
    <col min="29" max="29" width="42.5703125" customWidth="1"/>
    <col min="30" max="30" width="40.28515625" customWidth="1"/>
    <col min="31" max="31" width="53.42578125" customWidth="1"/>
    <col min="32" max="32" width="42.5703125" customWidth="1"/>
    <col min="33" max="33" width="40.28515625" customWidth="1"/>
    <col min="34" max="34" width="53.42578125" customWidth="1"/>
    <col min="35" max="35" width="42.5703125" customWidth="1"/>
    <col min="36" max="36" width="40.28515625" customWidth="1"/>
    <col min="37" max="37" width="53.42578125" customWidth="1"/>
    <col min="38" max="38" width="40.7109375" customWidth="1"/>
    <col min="39" max="39" width="38.42578125" customWidth="1"/>
    <col min="40" max="40" width="51.7109375" customWidth="1"/>
    <col min="41" max="41" width="40.28515625" customWidth="1"/>
    <col min="42" max="42" width="42.5703125" customWidth="1"/>
    <col min="43" max="43" width="40.28515625" customWidth="1"/>
    <col min="44" max="44" width="42.5703125" customWidth="1"/>
    <col min="45" max="45" width="40.28515625" customWidth="1"/>
    <col min="46" max="46" width="42.5703125" customWidth="1"/>
    <col min="47" max="47" width="40.28515625" customWidth="1"/>
    <col min="48" max="48" width="40.7109375" customWidth="1"/>
    <col min="49" max="49" width="38.42578125" bestFit="1" customWidth="1"/>
    <col min="50" max="50" width="11.7109375" customWidth="1"/>
    <col min="51" max="51" width="77.7109375" customWidth="1"/>
    <col min="52" max="52" width="54.140625" customWidth="1"/>
    <col min="53" max="55" width="11.7109375" customWidth="1"/>
    <col min="56" max="56" width="6.7109375" customWidth="1"/>
    <col min="57" max="57" width="9" customWidth="1"/>
    <col min="58" max="59" width="11.7109375" customWidth="1"/>
    <col min="60" max="60" width="6.7109375" customWidth="1"/>
    <col min="61" max="62" width="11.7109375" customWidth="1"/>
    <col min="63" max="63" width="56.85546875" customWidth="1"/>
    <col min="64" max="64" width="66.28515625" customWidth="1"/>
    <col min="65" max="66" width="11.7109375" bestFit="1" customWidth="1"/>
    <col min="67" max="67" width="11.7109375" customWidth="1"/>
    <col min="68" max="68" width="6.7109375" customWidth="1"/>
    <col min="69" max="69" width="9" customWidth="1"/>
    <col min="70" max="70" width="11.7109375" customWidth="1"/>
    <col min="71" max="71" width="11.7109375" bestFit="1" customWidth="1"/>
    <col min="72" max="72" width="6.7109375" customWidth="1"/>
    <col min="73" max="74" width="11.7109375" customWidth="1"/>
    <col min="75" max="75" width="69.140625" customWidth="1"/>
    <col min="76" max="76" width="62.28515625" customWidth="1"/>
    <col min="77" max="78" width="11.7109375" customWidth="1"/>
    <col min="79" max="79" width="11.7109375" bestFit="1" customWidth="1"/>
    <col min="80" max="80" width="6.7109375" customWidth="1"/>
    <col min="81" max="81" width="9" customWidth="1"/>
    <col min="82" max="83" width="11.7109375" customWidth="1"/>
    <col min="84" max="84" width="6.7109375" customWidth="1"/>
    <col min="85" max="86" width="11.7109375" customWidth="1"/>
    <col min="87" max="87" width="65" bestFit="1" customWidth="1"/>
    <col min="88" max="88" width="53.28515625" customWidth="1"/>
    <col min="89" max="91" width="11.7109375" customWidth="1"/>
    <col min="92" max="92" width="6.7109375" customWidth="1"/>
    <col min="93" max="93" width="9" customWidth="1"/>
    <col min="94" max="94" width="11.7109375" customWidth="1"/>
    <col min="95" max="95" width="11.7109375" bestFit="1" customWidth="1"/>
    <col min="96" max="96" width="6.7109375" customWidth="1"/>
    <col min="97" max="97" width="11.7109375" customWidth="1"/>
    <col min="98" max="98" width="11.7109375" bestFit="1" customWidth="1"/>
    <col min="99" max="99" width="56" bestFit="1" customWidth="1"/>
    <col min="100" max="100" width="34.5703125" customWidth="1"/>
    <col min="101" max="104" width="11.7109375" customWidth="1"/>
    <col min="105" max="105" width="11.7109375" bestFit="1" customWidth="1"/>
    <col min="106" max="106" width="37.28515625" customWidth="1"/>
    <col min="107" max="107" width="38.85546875" customWidth="1"/>
    <col min="108" max="108" width="11.7109375" bestFit="1" customWidth="1"/>
    <col min="109" max="110" width="11.7109375" customWidth="1"/>
    <col min="111" max="111" width="6.7109375" customWidth="1"/>
    <col min="112" max="112" width="9" customWidth="1"/>
    <col min="113" max="114" width="11.7109375" customWidth="1"/>
    <col min="115" max="115" width="6.7109375" customWidth="1"/>
    <col min="116" max="116" width="11.7109375" customWidth="1"/>
    <col min="117" max="117" width="11.7109375" bestFit="1" customWidth="1"/>
    <col min="118" max="118" width="41.7109375" bestFit="1" customWidth="1"/>
    <col min="119" max="119" width="51.85546875" customWidth="1"/>
    <col min="120" max="120" width="11.7109375" customWidth="1"/>
    <col min="121" max="122" width="11.7109375" bestFit="1" customWidth="1"/>
    <col min="123" max="123" width="6.7109375" customWidth="1"/>
    <col min="124" max="124" width="9" customWidth="1"/>
    <col min="125" max="126" width="11.7109375" customWidth="1"/>
    <col min="127" max="127" width="6.7109375" customWidth="1"/>
    <col min="128" max="129" width="11.7109375" bestFit="1" customWidth="1"/>
    <col min="130" max="130" width="54.7109375" bestFit="1" customWidth="1"/>
    <col min="131" max="131" width="71.28515625" bestFit="1" customWidth="1"/>
    <col min="132" max="132" width="11.7109375" customWidth="1"/>
    <col min="133" max="134" width="11.7109375" bestFit="1" customWidth="1"/>
    <col min="135" max="135" width="6.7109375" customWidth="1"/>
    <col min="136" max="136" width="9" customWidth="1"/>
    <col min="137" max="138" width="11.7109375" customWidth="1"/>
    <col min="139" max="139" width="6.7109375" customWidth="1"/>
    <col min="140" max="141" width="11.7109375" bestFit="1" customWidth="1"/>
    <col min="142" max="142" width="74.140625" bestFit="1" customWidth="1"/>
    <col min="143" max="143" width="39.28515625" customWidth="1"/>
    <col min="144" max="148" width="11.7109375" bestFit="1" customWidth="1"/>
    <col min="149" max="149" width="42.140625" bestFit="1" customWidth="1"/>
    <col min="150" max="150" width="36.42578125" bestFit="1" customWidth="1"/>
    <col min="151" max="155" width="11.7109375" bestFit="1" customWidth="1"/>
    <col min="156" max="156" width="39.28515625" bestFit="1" customWidth="1"/>
    <col min="157" max="157" width="38.140625" bestFit="1" customWidth="1"/>
    <col min="158" max="162" width="11.7109375" bestFit="1" customWidth="1"/>
    <col min="163" max="163" width="40.85546875" bestFit="1" customWidth="1"/>
    <col min="164" max="164" width="43.28515625" bestFit="1" customWidth="1"/>
    <col min="165" max="169" width="11.7109375" bestFit="1" customWidth="1"/>
    <col min="170" max="170" width="46.28515625" bestFit="1" customWidth="1"/>
    <col min="171" max="171" width="9" bestFit="1" customWidth="1"/>
    <col min="172" max="177" width="11.7109375" bestFit="1" customWidth="1"/>
    <col min="178" max="178" width="10.7109375" bestFit="1" customWidth="1"/>
  </cols>
  <sheetData>
    <row r="1" spans="1:8" x14ac:dyDescent="0.25">
      <c r="A1" s="78" t="s">
        <v>384</v>
      </c>
      <c r="B1" s="78" t="s">
        <v>594</v>
      </c>
    </row>
    <row r="3" spans="1:8" s="14" customFormat="1" ht="45" x14ac:dyDescent="0.25">
      <c r="A3" s="215" t="s">
        <v>517</v>
      </c>
      <c r="B3" s="215" t="s">
        <v>595</v>
      </c>
      <c r="C3" s="215" t="s">
        <v>596</v>
      </c>
      <c r="D3" s="215" t="s">
        <v>597</v>
      </c>
      <c r="E3" s="215" t="s">
        <v>598</v>
      </c>
      <c r="F3" s="215" t="s">
        <v>599</v>
      </c>
      <c r="G3" s="215" t="s">
        <v>600</v>
      </c>
      <c r="H3" s="216" t="s">
        <v>601</v>
      </c>
    </row>
    <row r="4" spans="1:8" x14ac:dyDescent="0.25">
      <c r="A4" s="217" t="s">
        <v>602</v>
      </c>
      <c r="B4" s="218">
        <v>0</v>
      </c>
      <c r="C4" s="218">
        <v>2</v>
      </c>
      <c r="D4" s="218">
        <v>83</v>
      </c>
      <c r="E4" s="218">
        <v>19</v>
      </c>
      <c r="F4" s="218">
        <v>39</v>
      </c>
      <c r="G4" s="218">
        <v>194</v>
      </c>
      <c r="H4" s="218">
        <f t="shared" ref="H4:H21" si="0">SUM(B4:G4)</f>
        <v>337</v>
      </c>
    </row>
    <row r="5" spans="1:8" x14ac:dyDescent="0.25">
      <c r="A5" s="217" t="s">
        <v>603</v>
      </c>
      <c r="B5" s="218">
        <v>5</v>
      </c>
      <c r="C5" s="218">
        <v>15</v>
      </c>
      <c r="D5" s="218">
        <v>157</v>
      </c>
      <c r="E5" s="218">
        <v>8</v>
      </c>
      <c r="F5" s="218">
        <v>31</v>
      </c>
      <c r="G5" s="218">
        <v>248</v>
      </c>
      <c r="H5" s="218">
        <f t="shared" si="0"/>
        <v>464</v>
      </c>
    </row>
    <row r="6" spans="1:8" x14ac:dyDescent="0.25">
      <c r="A6" s="217" t="s">
        <v>580</v>
      </c>
      <c r="B6" s="218">
        <v>8</v>
      </c>
      <c r="C6" s="218">
        <v>34</v>
      </c>
      <c r="D6" s="218">
        <v>334</v>
      </c>
      <c r="E6" s="218">
        <v>66</v>
      </c>
      <c r="F6" s="218">
        <v>89</v>
      </c>
      <c r="G6" s="218">
        <v>384</v>
      </c>
      <c r="H6" s="218">
        <f t="shared" si="0"/>
        <v>915</v>
      </c>
    </row>
    <row r="7" spans="1:8" x14ac:dyDescent="0.25">
      <c r="A7" s="217" t="s">
        <v>604</v>
      </c>
      <c r="B7" s="218">
        <v>10</v>
      </c>
      <c r="C7" s="218">
        <v>59</v>
      </c>
      <c r="D7" s="218">
        <v>310</v>
      </c>
      <c r="E7" s="218">
        <v>44</v>
      </c>
      <c r="F7" s="218">
        <v>75</v>
      </c>
      <c r="G7" s="218">
        <v>223</v>
      </c>
      <c r="H7" s="218">
        <f t="shared" si="0"/>
        <v>721</v>
      </c>
    </row>
    <row r="8" spans="1:8" x14ac:dyDescent="0.25">
      <c r="A8" s="217" t="s">
        <v>605</v>
      </c>
      <c r="B8" s="218">
        <v>11</v>
      </c>
      <c r="C8" s="218">
        <v>41</v>
      </c>
      <c r="D8" s="218">
        <v>316</v>
      </c>
      <c r="E8" s="218">
        <v>33</v>
      </c>
      <c r="F8" s="218">
        <v>72</v>
      </c>
      <c r="G8" s="218">
        <v>318</v>
      </c>
      <c r="H8" s="218">
        <f t="shared" si="0"/>
        <v>791</v>
      </c>
    </row>
    <row r="9" spans="1:8" x14ac:dyDescent="0.25">
      <c r="A9" s="217" t="s">
        <v>606</v>
      </c>
      <c r="B9" s="218">
        <v>26</v>
      </c>
      <c r="C9" s="218">
        <v>75</v>
      </c>
      <c r="D9" s="218">
        <v>423</v>
      </c>
      <c r="E9" s="218">
        <v>68</v>
      </c>
      <c r="F9" s="218">
        <v>101</v>
      </c>
      <c r="G9" s="218">
        <v>382</v>
      </c>
      <c r="H9" s="218">
        <f t="shared" si="0"/>
        <v>1075</v>
      </c>
    </row>
    <row r="10" spans="1:8" x14ac:dyDescent="0.25">
      <c r="A10" s="217" t="s">
        <v>607</v>
      </c>
      <c r="B10" s="218">
        <v>8</v>
      </c>
      <c r="C10" s="218">
        <v>33</v>
      </c>
      <c r="D10" s="218">
        <v>220</v>
      </c>
      <c r="E10" s="218">
        <v>34</v>
      </c>
      <c r="F10" s="218">
        <v>78</v>
      </c>
      <c r="G10" s="218">
        <v>180</v>
      </c>
      <c r="H10" s="218">
        <f t="shared" si="0"/>
        <v>553</v>
      </c>
    </row>
    <row r="11" spans="1:8" x14ac:dyDescent="0.25">
      <c r="A11" s="217" t="s">
        <v>608</v>
      </c>
      <c r="B11" s="218">
        <v>11</v>
      </c>
      <c r="C11" s="218">
        <v>380</v>
      </c>
      <c r="D11" s="218">
        <v>465</v>
      </c>
      <c r="E11" s="218">
        <v>83</v>
      </c>
      <c r="F11" s="218">
        <v>183</v>
      </c>
      <c r="G11" s="218">
        <v>484</v>
      </c>
      <c r="H11" s="218">
        <f t="shared" si="0"/>
        <v>1606</v>
      </c>
    </row>
    <row r="12" spans="1:8" x14ac:dyDescent="0.25">
      <c r="A12" s="217" t="s">
        <v>609</v>
      </c>
      <c r="B12" s="218">
        <v>7</v>
      </c>
      <c r="C12" s="218">
        <v>45</v>
      </c>
      <c r="D12" s="218">
        <v>239</v>
      </c>
      <c r="E12" s="218">
        <v>56</v>
      </c>
      <c r="F12" s="218">
        <v>73</v>
      </c>
      <c r="G12" s="218">
        <v>194</v>
      </c>
      <c r="H12" s="218">
        <f t="shared" si="0"/>
        <v>614</v>
      </c>
    </row>
    <row r="13" spans="1:8" x14ac:dyDescent="0.25">
      <c r="A13" s="217" t="s">
        <v>610</v>
      </c>
      <c r="B13" s="218">
        <v>11</v>
      </c>
      <c r="C13" s="218">
        <v>62</v>
      </c>
      <c r="D13" s="218">
        <v>446</v>
      </c>
      <c r="E13" s="218">
        <v>93</v>
      </c>
      <c r="F13" s="218">
        <v>156</v>
      </c>
      <c r="G13" s="218">
        <v>394</v>
      </c>
      <c r="H13" s="218">
        <f t="shared" si="0"/>
        <v>1162</v>
      </c>
    </row>
    <row r="14" spans="1:8" x14ac:dyDescent="0.25">
      <c r="A14" s="217" t="s">
        <v>52</v>
      </c>
      <c r="B14" s="218">
        <v>11</v>
      </c>
      <c r="C14" s="218">
        <v>51</v>
      </c>
      <c r="D14" s="218">
        <v>309</v>
      </c>
      <c r="E14" s="218">
        <v>75</v>
      </c>
      <c r="F14" s="218">
        <v>45</v>
      </c>
      <c r="G14" s="218">
        <v>194</v>
      </c>
      <c r="H14" s="218">
        <f t="shared" si="0"/>
        <v>685</v>
      </c>
    </row>
    <row r="15" spans="1:8" x14ac:dyDescent="0.25">
      <c r="A15" s="217" t="s">
        <v>423</v>
      </c>
      <c r="B15" s="218">
        <v>13</v>
      </c>
      <c r="C15" s="218">
        <v>53</v>
      </c>
      <c r="D15" s="218">
        <v>286</v>
      </c>
      <c r="E15" s="218">
        <v>63</v>
      </c>
      <c r="F15" s="218">
        <v>47</v>
      </c>
      <c r="G15" s="218">
        <v>116</v>
      </c>
      <c r="H15" s="218">
        <f t="shared" si="0"/>
        <v>578</v>
      </c>
    </row>
    <row r="16" spans="1:8" x14ac:dyDescent="0.25">
      <c r="A16" s="217" t="s">
        <v>611</v>
      </c>
      <c r="B16" s="218">
        <v>10</v>
      </c>
      <c r="C16" s="218">
        <v>45</v>
      </c>
      <c r="D16" s="218">
        <v>359</v>
      </c>
      <c r="E16" s="218">
        <v>88</v>
      </c>
      <c r="F16" s="218">
        <v>44</v>
      </c>
      <c r="G16" s="218">
        <v>262</v>
      </c>
      <c r="H16" s="218">
        <f t="shared" si="0"/>
        <v>808</v>
      </c>
    </row>
    <row r="17" spans="1:8" x14ac:dyDescent="0.25">
      <c r="A17" s="217" t="s">
        <v>612</v>
      </c>
      <c r="B17" s="218">
        <v>13</v>
      </c>
      <c r="C17" s="218">
        <v>60</v>
      </c>
      <c r="D17" s="218">
        <v>351</v>
      </c>
      <c r="E17" s="218">
        <v>49</v>
      </c>
      <c r="F17" s="218">
        <v>59</v>
      </c>
      <c r="G17" s="218">
        <v>179</v>
      </c>
      <c r="H17" s="218">
        <f t="shared" si="0"/>
        <v>711</v>
      </c>
    </row>
    <row r="18" spans="1:8" x14ac:dyDescent="0.25">
      <c r="A18" s="217" t="s">
        <v>613</v>
      </c>
      <c r="B18" s="218">
        <v>0</v>
      </c>
      <c r="C18" s="218">
        <v>8</v>
      </c>
      <c r="D18" s="218">
        <v>714</v>
      </c>
      <c r="E18" s="218">
        <v>70</v>
      </c>
      <c r="F18" s="218">
        <v>91</v>
      </c>
      <c r="G18" s="218">
        <v>718</v>
      </c>
      <c r="H18" s="218">
        <f t="shared" si="0"/>
        <v>1601</v>
      </c>
    </row>
    <row r="19" spans="1:8" x14ac:dyDescent="0.25">
      <c r="A19" s="217" t="s">
        <v>614</v>
      </c>
      <c r="B19" s="218">
        <v>0</v>
      </c>
      <c r="C19" s="218">
        <v>0</v>
      </c>
      <c r="D19" s="218">
        <v>42</v>
      </c>
      <c r="E19" s="218">
        <v>10</v>
      </c>
      <c r="F19" s="218">
        <v>12</v>
      </c>
      <c r="G19" s="218">
        <v>28</v>
      </c>
      <c r="H19" s="218">
        <f t="shared" si="0"/>
        <v>92</v>
      </c>
    </row>
    <row r="20" spans="1:8" x14ac:dyDescent="0.25">
      <c r="A20" s="217" t="s">
        <v>588</v>
      </c>
      <c r="B20" s="218">
        <v>20</v>
      </c>
      <c r="C20" s="218">
        <v>85</v>
      </c>
      <c r="D20" s="218">
        <v>531</v>
      </c>
      <c r="E20" s="218">
        <v>92</v>
      </c>
      <c r="F20" s="218">
        <v>165</v>
      </c>
      <c r="G20" s="218">
        <v>285</v>
      </c>
      <c r="H20" s="218">
        <f t="shared" si="0"/>
        <v>1178</v>
      </c>
    </row>
    <row r="21" spans="1:8" x14ac:dyDescent="0.25">
      <c r="A21" s="217" t="s">
        <v>225</v>
      </c>
      <c r="B21" s="218">
        <v>164</v>
      </c>
      <c r="C21" s="218">
        <v>1048</v>
      </c>
      <c r="D21" s="218">
        <v>5585</v>
      </c>
      <c r="E21" s="218">
        <v>951</v>
      </c>
      <c r="F21" s="218">
        <v>1360</v>
      </c>
      <c r="G21" s="218">
        <v>4783</v>
      </c>
      <c r="H21" s="219">
        <f t="shared" si="0"/>
        <v>13891</v>
      </c>
    </row>
    <row r="22" spans="1:8" x14ac:dyDescent="0.25">
      <c r="H22" s="22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D81D7-00DD-4BCA-AF69-F7131566648E}">
  <dimension ref="A1:Y15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855468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615</v>
      </c>
    </row>
    <row r="3" spans="1:25" x14ac:dyDescent="0.25">
      <c r="A3" t="s">
        <v>384</v>
      </c>
      <c r="B3" t="s">
        <v>385</v>
      </c>
      <c r="C3" t="s">
        <v>41</v>
      </c>
      <c r="D3" t="s">
        <v>42</v>
      </c>
      <c r="E3" t="s">
        <v>386</v>
      </c>
      <c r="F3" t="s">
        <v>44</v>
      </c>
      <c r="G3" t="s">
        <v>45</v>
      </c>
      <c r="H3" t="s">
        <v>46</v>
      </c>
      <c r="I3" t="s">
        <v>387</v>
      </c>
      <c r="J3" t="s">
        <v>388</v>
      </c>
      <c r="K3" t="s">
        <v>56</v>
      </c>
      <c r="L3" t="s">
        <v>48</v>
      </c>
      <c r="M3" t="s">
        <v>389</v>
      </c>
      <c r="N3" t="s">
        <v>390</v>
      </c>
      <c r="O3" t="s">
        <v>391</v>
      </c>
      <c r="P3" t="s">
        <v>392</v>
      </c>
      <c r="Q3" t="s">
        <v>393</v>
      </c>
      <c r="R3" t="s">
        <v>394</v>
      </c>
      <c r="S3" t="s">
        <v>395</v>
      </c>
      <c r="T3" t="s">
        <v>396</v>
      </c>
      <c r="U3" t="s">
        <v>397</v>
      </c>
      <c r="V3" t="s">
        <v>398</v>
      </c>
      <c r="W3" t="s">
        <v>53</v>
      </c>
      <c r="X3" t="s">
        <v>399</v>
      </c>
      <c r="Y3" t="s">
        <v>400</v>
      </c>
    </row>
    <row r="4" spans="1:25" x14ac:dyDescent="0.25">
      <c r="A4" t="s">
        <v>403</v>
      </c>
      <c r="B4" t="s">
        <v>197</v>
      </c>
      <c r="N4">
        <v>30</v>
      </c>
      <c r="P4">
        <v>90</v>
      </c>
      <c r="Q4">
        <v>30</v>
      </c>
      <c r="S4">
        <v>30</v>
      </c>
      <c r="V4">
        <v>30</v>
      </c>
      <c r="Y4">
        <v>210</v>
      </c>
    </row>
    <row r="5" spans="1:25" x14ac:dyDescent="0.25">
      <c r="A5" t="s">
        <v>404</v>
      </c>
      <c r="B5" t="s">
        <v>197</v>
      </c>
      <c r="I5">
        <v>3</v>
      </c>
      <c r="J5">
        <v>1</v>
      </c>
      <c r="K5">
        <v>1</v>
      </c>
      <c r="U5">
        <v>1</v>
      </c>
      <c r="W5">
        <v>1</v>
      </c>
      <c r="Y5">
        <v>7</v>
      </c>
    </row>
    <row r="6" spans="1:25" x14ac:dyDescent="0.25">
      <c r="A6" t="s">
        <v>401</v>
      </c>
      <c r="B6" t="s">
        <v>197</v>
      </c>
      <c r="C6">
        <v>7</v>
      </c>
      <c r="D6">
        <v>4</v>
      </c>
      <c r="E6">
        <v>3</v>
      </c>
      <c r="F6">
        <v>3</v>
      </c>
      <c r="G6">
        <v>5</v>
      </c>
      <c r="H6">
        <v>3</v>
      </c>
      <c r="I6">
        <v>241</v>
      </c>
      <c r="J6">
        <v>16</v>
      </c>
      <c r="K6">
        <v>5</v>
      </c>
      <c r="L6">
        <v>4</v>
      </c>
      <c r="M6">
        <v>2</v>
      </c>
      <c r="N6">
        <v>7</v>
      </c>
      <c r="O6">
        <v>13</v>
      </c>
      <c r="P6">
        <v>17</v>
      </c>
      <c r="Q6">
        <v>14</v>
      </c>
      <c r="R6">
        <v>7</v>
      </c>
      <c r="S6">
        <v>7</v>
      </c>
      <c r="T6">
        <v>7</v>
      </c>
      <c r="U6">
        <v>32</v>
      </c>
      <c r="V6">
        <v>12</v>
      </c>
      <c r="W6">
        <v>113</v>
      </c>
      <c r="X6">
        <v>7</v>
      </c>
      <c r="Y6">
        <v>529</v>
      </c>
    </row>
    <row r="7" spans="1:25" x14ac:dyDescent="0.25">
      <c r="A7" t="s">
        <v>405</v>
      </c>
      <c r="B7" t="s">
        <v>197</v>
      </c>
      <c r="Y7">
        <v>0</v>
      </c>
    </row>
    <row r="8" spans="1:25" x14ac:dyDescent="0.25">
      <c r="A8" t="s">
        <v>406</v>
      </c>
      <c r="B8" t="s">
        <v>197</v>
      </c>
      <c r="I8">
        <v>8</v>
      </c>
      <c r="O8">
        <v>8</v>
      </c>
      <c r="U8">
        <v>8</v>
      </c>
      <c r="W8">
        <v>10</v>
      </c>
      <c r="Y8">
        <v>34</v>
      </c>
    </row>
    <row r="9" spans="1:25" x14ac:dyDescent="0.25">
      <c r="A9" t="s">
        <v>407</v>
      </c>
      <c r="B9" t="s">
        <v>197</v>
      </c>
      <c r="D9">
        <v>1</v>
      </c>
      <c r="F9">
        <v>1</v>
      </c>
      <c r="I9">
        <v>15</v>
      </c>
      <c r="K9">
        <v>2</v>
      </c>
      <c r="O9">
        <v>5</v>
      </c>
      <c r="P9">
        <v>5</v>
      </c>
      <c r="Q9">
        <v>13</v>
      </c>
      <c r="W9">
        <v>1</v>
      </c>
      <c r="Y9">
        <v>43</v>
      </c>
    </row>
    <row r="10" spans="1:25" x14ac:dyDescent="0.25">
      <c r="A10" t="s">
        <v>408</v>
      </c>
      <c r="B10" t="s">
        <v>197</v>
      </c>
      <c r="I10">
        <v>6</v>
      </c>
      <c r="J10">
        <v>11</v>
      </c>
      <c r="K10">
        <v>1</v>
      </c>
      <c r="M10">
        <v>4</v>
      </c>
      <c r="N10">
        <v>6</v>
      </c>
      <c r="O10">
        <v>13</v>
      </c>
      <c r="P10">
        <v>8</v>
      </c>
      <c r="Q10">
        <v>9</v>
      </c>
      <c r="R10">
        <v>4</v>
      </c>
      <c r="S10">
        <v>4</v>
      </c>
      <c r="T10">
        <v>4</v>
      </c>
      <c r="U10">
        <v>8</v>
      </c>
      <c r="V10">
        <v>4</v>
      </c>
      <c r="W10">
        <v>9</v>
      </c>
      <c r="X10">
        <v>5</v>
      </c>
      <c r="Y10">
        <v>96</v>
      </c>
    </row>
    <row r="11" spans="1:25" x14ac:dyDescent="0.25">
      <c r="A11" t="s">
        <v>409</v>
      </c>
      <c r="B11" t="s">
        <v>197</v>
      </c>
      <c r="C11">
        <v>1</v>
      </c>
      <c r="D11">
        <v>2</v>
      </c>
      <c r="I11">
        <v>2</v>
      </c>
      <c r="J11">
        <v>1</v>
      </c>
      <c r="O11">
        <v>1</v>
      </c>
      <c r="U11">
        <v>1</v>
      </c>
      <c r="W11">
        <v>2</v>
      </c>
      <c r="Y11">
        <v>10</v>
      </c>
    </row>
    <row r="12" spans="1:25" x14ac:dyDescent="0.25">
      <c r="A12" t="s">
        <v>402</v>
      </c>
      <c r="B12" t="s">
        <v>197</v>
      </c>
      <c r="C12">
        <v>15</v>
      </c>
      <c r="D12">
        <v>30</v>
      </c>
      <c r="E12">
        <v>2</v>
      </c>
      <c r="F12">
        <v>3</v>
      </c>
      <c r="G12">
        <v>8</v>
      </c>
      <c r="H12">
        <v>18</v>
      </c>
      <c r="I12">
        <v>42</v>
      </c>
      <c r="J12">
        <v>14</v>
      </c>
      <c r="K12">
        <v>16</v>
      </c>
      <c r="L12">
        <v>2</v>
      </c>
      <c r="M12">
        <v>1</v>
      </c>
      <c r="O12">
        <v>11</v>
      </c>
      <c r="P12">
        <v>12</v>
      </c>
      <c r="Q12">
        <v>72</v>
      </c>
      <c r="R12">
        <v>6</v>
      </c>
      <c r="S12">
        <v>18</v>
      </c>
      <c r="U12">
        <v>2</v>
      </c>
      <c r="V12">
        <v>32</v>
      </c>
      <c r="W12">
        <v>10</v>
      </c>
      <c r="Y12">
        <v>314</v>
      </c>
    </row>
    <row r="13" spans="1:25" x14ac:dyDescent="0.25">
      <c r="A13" t="s">
        <v>410</v>
      </c>
      <c r="B13" t="s">
        <v>197</v>
      </c>
      <c r="I13">
        <v>10</v>
      </c>
      <c r="K13">
        <v>2</v>
      </c>
      <c r="O13">
        <v>1</v>
      </c>
      <c r="U13">
        <v>1</v>
      </c>
      <c r="W13">
        <v>10</v>
      </c>
      <c r="Y13">
        <v>24</v>
      </c>
    </row>
    <row r="14" spans="1:25" x14ac:dyDescent="0.25">
      <c r="A14" t="s">
        <v>411</v>
      </c>
      <c r="B14" t="s">
        <v>197</v>
      </c>
      <c r="C14">
        <v>2</v>
      </c>
      <c r="I14">
        <v>5</v>
      </c>
      <c r="J14">
        <v>5</v>
      </c>
      <c r="K14">
        <v>4</v>
      </c>
      <c r="L14">
        <v>1</v>
      </c>
      <c r="O14">
        <v>4</v>
      </c>
      <c r="P14">
        <v>7</v>
      </c>
      <c r="Q14">
        <v>5</v>
      </c>
      <c r="U14">
        <v>2</v>
      </c>
      <c r="W14">
        <v>2</v>
      </c>
      <c r="X14">
        <v>2</v>
      </c>
      <c r="Y14">
        <v>39</v>
      </c>
    </row>
    <row r="15" spans="1:25" x14ac:dyDescent="0.25">
      <c r="A15" t="s">
        <v>412</v>
      </c>
      <c r="B15" t="s">
        <v>197</v>
      </c>
      <c r="C15">
        <v>41</v>
      </c>
      <c r="D15">
        <v>1</v>
      </c>
      <c r="J15">
        <v>15</v>
      </c>
      <c r="O15">
        <v>5</v>
      </c>
      <c r="R15">
        <v>8</v>
      </c>
      <c r="U15">
        <v>17</v>
      </c>
      <c r="W15">
        <v>12</v>
      </c>
      <c r="Y15">
        <v>99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A243-A55D-4F6D-BE2B-1526FF8921D7}">
  <dimension ref="A1:Y16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855468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616</v>
      </c>
    </row>
    <row r="3" spans="1:25" x14ac:dyDescent="0.25">
      <c r="A3" t="s">
        <v>384</v>
      </c>
      <c r="B3" t="s">
        <v>385</v>
      </c>
      <c r="C3" t="s">
        <v>41</v>
      </c>
      <c r="D3" t="s">
        <v>42</v>
      </c>
      <c r="E3" t="s">
        <v>386</v>
      </c>
      <c r="F3" t="s">
        <v>44</v>
      </c>
      <c r="G3" t="s">
        <v>45</v>
      </c>
      <c r="H3" t="s">
        <v>46</v>
      </c>
      <c r="I3" t="s">
        <v>387</v>
      </c>
      <c r="J3" t="s">
        <v>388</v>
      </c>
      <c r="K3" t="s">
        <v>56</v>
      </c>
      <c r="L3" t="s">
        <v>48</v>
      </c>
      <c r="M3" t="s">
        <v>389</v>
      </c>
      <c r="N3" t="s">
        <v>390</v>
      </c>
      <c r="O3" t="s">
        <v>391</v>
      </c>
      <c r="P3" t="s">
        <v>392</v>
      </c>
      <c r="Q3" t="s">
        <v>393</v>
      </c>
      <c r="R3" t="s">
        <v>394</v>
      </c>
      <c r="S3" t="s">
        <v>395</v>
      </c>
      <c r="T3" t="s">
        <v>396</v>
      </c>
      <c r="U3" t="s">
        <v>397</v>
      </c>
      <c r="V3" t="s">
        <v>398</v>
      </c>
      <c r="W3" t="s">
        <v>53</v>
      </c>
      <c r="X3" t="s">
        <v>399</v>
      </c>
      <c r="Y3" t="s">
        <v>400</v>
      </c>
    </row>
    <row r="4" spans="1:25" x14ac:dyDescent="0.25">
      <c r="A4" t="s">
        <v>403</v>
      </c>
      <c r="B4" t="s">
        <v>172</v>
      </c>
      <c r="N4">
        <v>30</v>
      </c>
      <c r="P4">
        <v>30</v>
      </c>
      <c r="Q4">
        <v>30</v>
      </c>
      <c r="S4">
        <v>30</v>
      </c>
      <c r="V4">
        <v>30</v>
      </c>
      <c r="Y4">
        <v>150</v>
      </c>
    </row>
    <row r="5" spans="1:25" x14ac:dyDescent="0.25">
      <c r="A5" t="s">
        <v>404</v>
      </c>
      <c r="B5" t="s">
        <v>172</v>
      </c>
      <c r="Y5">
        <v>0</v>
      </c>
    </row>
    <row r="6" spans="1:25" x14ac:dyDescent="0.25">
      <c r="A6" t="s">
        <v>401</v>
      </c>
      <c r="B6" t="s">
        <v>172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t="s">
        <v>405</v>
      </c>
      <c r="B7" t="s">
        <v>172</v>
      </c>
      <c r="Y7">
        <v>0</v>
      </c>
    </row>
    <row r="8" spans="1:25" x14ac:dyDescent="0.25">
      <c r="A8" t="s">
        <v>422</v>
      </c>
      <c r="B8" t="s">
        <v>172</v>
      </c>
      <c r="C8">
        <v>3</v>
      </c>
      <c r="D8">
        <v>3</v>
      </c>
      <c r="E8">
        <v>3</v>
      </c>
      <c r="F8">
        <v>3</v>
      </c>
      <c r="G8">
        <v>3</v>
      </c>
      <c r="H8">
        <v>3</v>
      </c>
      <c r="I8">
        <v>3</v>
      </c>
      <c r="J8">
        <v>3</v>
      </c>
      <c r="K8">
        <v>3</v>
      </c>
      <c r="L8">
        <v>3</v>
      </c>
      <c r="M8">
        <v>3</v>
      </c>
      <c r="N8">
        <v>3</v>
      </c>
      <c r="O8">
        <v>3</v>
      </c>
      <c r="P8">
        <v>3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66</v>
      </c>
    </row>
    <row r="9" spans="1:25" x14ac:dyDescent="0.25">
      <c r="A9" t="s">
        <v>406</v>
      </c>
      <c r="B9" t="s">
        <v>172</v>
      </c>
      <c r="Y9">
        <v>0</v>
      </c>
    </row>
    <row r="10" spans="1:25" x14ac:dyDescent="0.25">
      <c r="A10" t="s">
        <v>407</v>
      </c>
      <c r="B10" t="s">
        <v>172</v>
      </c>
      <c r="Y10">
        <v>0</v>
      </c>
    </row>
    <row r="11" spans="1:25" x14ac:dyDescent="0.25">
      <c r="A11" t="s">
        <v>408</v>
      </c>
      <c r="B11" t="s">
        <v>172</v>
      </c>
      <c r="Y11">
        <v>0</v>
      </c>
    </row>
    <row r="12" spans="1:25" x14ac:dyDescent="0.25">
      <c r="A12" t="s">
        <v>409</v>
      </c>
      <c r="B12" t="s">
        <v>172</v>
      </c>
      <c r="Y12">
        <v>0</v>
      </c>
    </row>
    <row r="13" spans="1:25" x14ac:dyDescent="0.25">
      <c r="A13" t="s">
        <v>402</v>
      </c>
      <c r="B13" t="s">
        <v>172</v>
      </c>
      <c r="C13">
        <v>2</v>
      </c>
      <c r="D13">
        <v>4</v>
      </c>
      <c r="E13">
        <v>1</v>
      </c>
      <c r="F13">
        <v>3</v>
      </c>
      <c r="I13">
        <v>20</v>
      </c>
      <c r="J13">
        <v>2</v>
      </c>
      <c r="K13">
        <v>1</v>
      </c>
      <c r="O13">
        <v>1</v>
      </c>
      <c r="R13">
        <v>1</v>
      </c>
      <c r="S13">
        <v>2</v>
      </c>
      <c r="V13">
        <v>5</v>
      </c>
      <c r="W13">
        <v>1</v>
      </c>
      <c r="Y13">
        <v>43</v>
      </c>
    </row>
    <row r="14" spans="1:25" x14ac:dyDescent="0.25">
      <c r="A14" t="s">
        <v>410</v>
      </c>
      <c r="B14" t="s">
        <v>172</v>
      </c>
      <c r="Y14">
        <v>0</v>
      </c>
    </row>
    <row r="15" spans="1:25" x14ac:dyDescent="0.25">
      <c r="A15" t="s">
        <v>411</v>
      </c>
      <c r="B15" t="s">
        <v>172</v>
      </c>
      <c r="Y15">
        <v>0</v>
      </c>
    </row>
    <row r="16" spans="1:25" x14ac:dyDescent="0.25">
      <c r="A16" t="s">
        <v>412</v>
      </c>
      <c r="B16" t="s">
        <v>172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EF87-21CB-45BC-83F8-EBFD1A3F61F5}">
  <sheetPr>
    <tabColor theme="7" tint="0.39997558519241921"/>
  </sheetPr>
  <dimension ref="A1:DD27"/>
  <sheetViews>
    <sheetView zoomScaleNormal="100" workbookViewId="0">
      <pane xSplit="1" topLeftCell="B1" activePane="topRight" state="frozen"/>
      <selection pane="topRight" activeCell="AA30" sqref="AA30"/>
    </sheetView>
  </sheetViews>
  <sheetFormatPr defaultColWidth="9.140625" defaultRowHeight="15" x14ac:dyDescent="0.25"/>
  <cols>
    <col min="1" max="1" width="69.85546875" customWidth="1"/>
    <col min="2" max="2" width="14.140625" customWidth="1"/>
    <col min="3" max="6" width="4" bestFit="1" customWidth="1"/>
    <col min="7" max="7" width="3.7109375" bestFit="1" customWidth="1"/>
    <col min="8" max="19" width="4" bestFit="1" customWidth="1"/>
    <col min="20" max="20" width="3.7109375" bestFit="1" customWidth="1"/>
    <col min="21" max="21" width="4" bestFit="1" customWidth="1"/>
    <col min="22" max="23" width="3.7109375" bestFit="1" customWidth="1"/>
    <col min="24" max="24" width="4" bestFit="1" customWidth="1"/>
    <col min="25" max="25" width="3.7109375" bestFit="1" customWidth="1"/>
    <col min="26" max="27" width="4" bestFit="1" customWidth="1"/>
    <col min="28" max="28" width="3.7109375" bestFit="1" customWidth="1"/>
    <col min="29" max="31" width="4" bestFit="1" customWidth="1"/>
    <col min="32" max="32" width="5" bestFit="1" customWidth="1"/>
    <col min="33" max="33" width="4" bestFit="1" customWidth="1"/>
    <col min="34" max="34" width="3.7109375" bestFit="1" customWidth="1"/>
    <col min="35" max="35" width="4" bestFit="1" customWidth="1"/>
    <col min="36" max="36" width="5" style="408" bestFit="1" customWidth="1"/>
    <col min="37" max="37" width="4" bestFit="1" customWidth="1"/>
    <col min="38" max="38" width="3.7109375" bestFit="1" customWidth="1"/>
    <col min="39" max="40" width="4" bestFit="1" customWidth="1"/>
    <col min="41" max="41" width="3.7109375" bestFit="1" customWidth="1"/>
    <col min="42" max="42" width="5" bestFit="1" customWidth="1"/>
    <col min="43" max="43" width="4" bestFit="1" customWidth="1"/>
    <col min="44" max="46" width="3.7109375" bestFit="1" customWidth="1"/>
    <col min="47" max="51" width="4" bestFit="1" customWidth="1"/>
    <col min="52" max="60" width="3.7109375" bestFit="1" customWidth="1"/>
    <col min="61" max="61" width="4" bestFit="1" customWidth="1"/>
    <col min="62" max="65" width="3.7109375" bestFit="1" customWidth="1"/>
    <col min="66" max="66" width="4" bestFit="1" customWidth="1"/>
    <col min="67" max="69" width="3.7109375" bestFit="1" customWidth="1"/>
    <col min="70" max="70" width="4" bestFit="1" customWidth="1"/>
    <col min="71" max="80" width="3.7109375" bestFit="1" customWidth="1"/>
    <col min="81" max="81" width="4" bestFit="1" customWidth="1"/>
    <col min="82" max="83" width="3.7109375" bestFit="1" customWidth="1"/>
    <col min="84" max="84" width="4" bestFit="1" customWidth="1"/>
    <col min="85" max="89" width="3.7109375" bestFit="1" customWidth="1"/>
    <col min="90" max="90" width="4" bestFit="1" customWidth="1"/>
    <col min="91" max="106" width="3.7109375" bestFit="1" customWidth="1"/>
    <col min="107" max="107" width="6" bestFit="1" customWidth="1"/>
    <col min="108" max="108" width="8" customWidth="1"/>
    <col min="109" max="203" width="44.28515625" bestFit="1" customWidth="1"/>
    <col min="204" max="204" width="44.28515625" customWidth="1"/>
    <col min="205" max="250" width="44.28515625" bestFit="1" customWidth="1"/>
    <col min="251" max="251" width="29.7109375" bestFit="1" customWidth="1"/>
    <col min="252" max="252" width="38.42578125" bestFit="1" customWidth="1"/>
    <col min="253" max="253" width="40.28515625" bestFit="1" customWidth="1"/>
    <col min="254" max="254" width="49" bestFit="1" customWidth="1"/>
    <col min="255" max="255" width="36" bestFit="1" customWidth="1"/>
  </cols>
  <sheetData>
    <row r="1" spans="1:108" x14ac:dyDescent="0.25">
      <c r="A1" t="s">
        <v>384</v>
      </c>
      <c r="B1" t="s">
        <v>594</v>
      </c>
    </row>
    <row r="3" spans="1:108" hidden="1" x14ac:dyDescent="0.25">
      <c r="B3" t="s">
        <v>617</v>
      </c>
    </row>
    <row r="4" spans="1:108" s="222" customFormat="1" ht="111" customHeight="1" x14ac:dyDescent="0.25">
      <c r="A4" s="1" t="s">
        <v>227</v>
      </c>
      <c r="B4" s="221" t="s">
        <v>159</v>
      </c>
      <c r="C4" s="221" t="s">
        <v>160</v>
      </c>
      <c r="D4" s="221" t="s">
        <v>162</v>
      </c>
      <c r="E4" s="221" t="s">
        <v>164</v>
      </c>
      <c r="F4" s="221" t="s">
        <v>166</v>
      </c>
      <c r="G4" s="221" t="s">
        <v>302</v>
      </c>
      <c r="H4" s="221" t="s">
        <v>169</v>
      </c>
      <c r="I4" s="221" t="s">
        <v>170</v>
      </c>
      <c r="J4" s="221" t="s">
        <v>171</v>
      </c>
      <c r="K4" s="221" t="s">
        <v>172</v>
      </c>
      <c r="L4" s="221" t="s">
        <v>173</v>
      </c>
      <c r="M4" s="221" t="s">
        <v>174</v>
      </c>
      <c r="N4" s="221" t="s">
        <v>175</v>
      </c>
      <c r="O4" s="221" t="s">
        <v>176</v>
      </c>
      <c r="P4" s="221" t="s">
        <v>177</v>
      </c>
      <c r="Q4" s="221" t="s">
        <v>178</v>
      </c>
      <c r="R4" s="221" t="s">
        <v>179</v>
      </c>
      <c r="S4" s="221" t="s">
        <v>182</v>
      </c>
      <c r="T4" s="221" t="s">
        <v>183</v>
      </c>
      <c r="U4" s="221" t="s">
        <v>185</v>
      </c>
      <c r="V4" s="221" t="s">
        <v>618</v>
      </c>
      <c r="W4" s="221" t="s">
        <v>619</v>
      </c>
      <c r="X4" s="221" t="s">
        <v>620</v>
      </c>
      <c r="Y4" s="221" t="s">
        <v>335</v>
      </c>
      <c r="Z4" s="221" t="s">
        <v>188</v>
      </c>
      <c r="AA4" s="221" t="s">
        <v>192</v>
      </c>
      <c r="AB4" s="221" t="s">
        <v>621</v>
      </c>
      <c r="AC4" s="291" t="s">
        <v>193</v>
      </c>
      <c r="AD4" s="221" t="s">
        <v>357</v>
      </c>
      <c r="AE4" s="221" t="s">
        <v>195</v>
      </c>
      <c r="AF4" s="221" t="s">
        <v>197</v>
      </c>
      <c r="AG4" s="221" t="s">
        <v>202</v>
      </c>
      <c r="AH4" s="221" t="s">
        <v>203</v>
      </c>
      <c r="AI4" s="221" t="s">
        <v>622</v>
      </c>
      <c r="AJ4" s="532" t="s">
        <v>205</v>
      </c>
      <c r="AK4" s="221" t="s">
        <v>206</v>
      </c>
      <c r="AL4" s="221" t="s">
        <v>224</v>
      </c>
      <c r="AM4" s="221" t="s">
        <v>208</v>
      </c>
      <c r="AN4" s="221" t="s">
        <v>209</v>
      </c>
      <c r="AO4" s="221" t="s">
        <v>372</v>
      </c>
      <c r="AP4" s="221" t="s">
        <v>212</v>
      </c>
      <c r="AQ4" s="221" t="s">
        <v>213</v>
      </c>
      <c r="AR4" s="221" t="s">
        <v>375</v>
      </c>
      <c r="AS4" s="291" t="s">
        <v>376</v>
      </c>
      <c r="AT4" s="291" t="s">
        <v>215</v>
      </c>
      <c r="AU4" s="292" t="s">
        <v>623</v>
      </c>
      <c r="AV4" s="293" t="s">
        <v>218</v>
      </c>
      <c r="AW4" s="293" t="s">
        <v>379</v>
      </c>
      <c r="AX4" s="293" t="s">
        <v>219</v>
      </c>
      <c r="AY4" s="293" t="s">
        <v>220</v>
      </c>
      <c r="AZ4" s="294" t="s">
        <v>211</v>
      </c>
      <c r="BA4" s="294" t="s">
        <v>624</v>
      </c>
      <c r="BB4" s="294" t="s">
        <v>625</v>
      </c>
      <c r="BC4" s="294" t="s">
        <v>626</v>
      </c>
      <c r="BD4" s="294" t="s">
        <v>627</v>
      </c>
      <c r="BE4" s="294" t="s">
        <v>628</v>
      </c>
      <c r="BF4" s="294" t="s">
        <v>629</v>
      </c>
      <c r="BG4" s="294" t="s">
        <v>221</v>
      </c>
      <c r="BH4" s="294" t="s">
        <v>630</v>
      </c>
      <c r="BI4" s="294" t="s">
        <v>365</v>
      </c>
      <c r="BJ4" s="294" t="s">
        <v>631</v>
      </c>
      <c r="BK4" s="294" t="s">
        <v>632</v>
      </c>
      <c r="BL4" s="294" t="s">
        <v>186</v>
      </c>
      <c r="BM4" s="294" t="s">
        <v>633</v>
      </c>
      <c r="BN4" s="294" t="s">
        <v>194</v>
      </c>
      <c r="BO4" s="294" t="s">
        <v>381</v>
      </c>
      <c r="BP4" s="294" t="s">
        <v>634</v>
      </c>
      <c r="BQ4" s="294" t="s">
        <v>168</v>
      </c>
      <c r="BR4" s="294" t="s">
        <v>184</v>
      </c>
      <c r="BS4" s="294" t="s">
        <v>161</v>
      </c>
      <c r="BT4" s="294" t="s">
        <v>635</v>
      </c>
      <c r="BU4" s="294" t="s">
        <v>636</v>
      </c>
      <c r="BV4" s="294" t="s">
        <v>351</v>
      </c>
      <c r="BW4" s="294" t="s">
        <v>637</v>
      </c>
      <c r="BX4" s="294" t="s">
        <v>255</v>
      </c>
      <c r="BY4" s="294" t="s">
        <v>638</v>
      </c>
      <c r="BZ4" s="294" t="s">
        <v>639</v>
      </c>
      <c r="CA4" s="294" t="s">
        <v>640</v>
      </c>
      <c r="CB4" s="294" t="s">
        <v>641</v>
      </c>
      <c r="CC4" s="294" t="s">
        <v>642</v>
      </c>
      <c r="CD4" s="294" t="s">
        <v>643</v>
      </c>
      <c r="CE4" s="294" t="s">
        <v>644</v>
      </c>
      <c r="CF4" s="294" t="s">
        <v>645</v>
      </c>
      <c r="CG4" s="294" t="s">
        <v>646</v>
      </c>
      <c r="CH4" s="294" t="s">
        <v>647</v>
      </c>
      <c r="CI4" s="294" t="s">
        <v>648</v>
      </c>
      <c r="CJ4" s="294" t="s">
        <v>649</v>
      </c>
      <c r="CK4" s="294" t="s">
        <v>650</v>
      </c>
      <c r="CL4" s="294" t="s">
        <v>651</v>
      </c>
      <c r="CM4" s="294" t="s">
        <v>652</v>
      </c>
      <c r="CN4" s="294" t="s">
        <v>653</v>
      </c>
      <c r="CO4" s="295" t="s">
        <v>488</v>
      </c>
      <c r="CP4" s="295" t="s">
        <v>654</v>
      </c>
      <c r="CQ4" s="295" t="s">
        <v>655</v>
      </c>
      <c r="CR4" s="295" t="s">
        <v>656</v>
      </c>
      <c r="CS4" s="295" t="s">
        <v>657</v>
      </c>
      <c r="CT4" s="295" t="s">
        <v>658</v>
      </c>
      <c r="CU4" s="295" t="s">
        <v>659</v>
      </c>
      <c r="CV4" s="295" t="s">
        <v>660</v>
      </c>
      <c r="CW4" s="295" t="s">
        <v>661</v>
      </c>
      <c r="CX4" s="295" t="s">
        <v>591</v>
      </c>
      <c r="CY4" s="295" t="s">
        <v>662</v>
      </c>
      <c r="CZ4" s="295" t="s">
        <v>663</v>
      </c>
      <c r="DA4" s="295" t="s">
        <v>664</v>
      </c>
      <c r="DB4" s="222" t="s">
        <v>665</v>
      </c>
      <c r="DC4" s="223" t="s">
        <v>225</v>
      </c>
      <c r="DD4"/>
    </row>
    <row r="5" spans="1:108" x14ac:dyDescent="0.25">
      <c r="A5" s="217" t="s">
        <v>666</v>
      </c>
      <c r="B5" s="78">
        <v>2</v>
      </c>
      <c r="C5" s="78">
        <v>2</v>
      </c>
      <c r="D5" s="78">
        <v>0</v>
      </c>
      <c r="E5" s="78">
        <v>6</v>
      </c>
      <c r="F5" s="78">
        <v>0</v>
      </c>
      <c r="G5" s="78">
        <v>0</v>
      </c>
      <c r="H5" s="78">
        <v>3</v>
      </c>
      <c r="I5" s="78">
        <v>13</v>
      </c>
      <c r="J5" s="78">
        <v>1</v>
      </c>
      <c r="K5" s="78">
        <v>5</v>
      </c>
      <c r="L5" s="78">
        <v>0</v>
      </c>
      <c r="M5" s="78">
        <v>1</v>
      </c>
      <c r="N5" s="78">
        <v>4</v>
      </c>
      <c r="O5" s="78">
        <v>3</v>
      </c>
      <c r="P5" s="78">
        <v>12</v>
      </c>
      <c r="Q5" s="78">
        <v>0</v>
      </c>
      <c r="R5" s="78">
        <v>4</v>
      </c>
      <c r="S5" s="78">
        <v>0</v>
      </c>
      <c r="T5" s="78">
        <v>0</v>
      </c>
      <c r="U5" s="78">
        <v>0</v>
      </c>
      <c r="V5" s="78">
        <v>1</v>
      </c>
      <c r="W5" s="78">
        <v>0</v>
      </c>
      <c r="X5" s="78">
        <v>0</v>
      </c>
      <c r="Y5" s="78">
        <v>0</v>
      </c>
      <c r="Z5" s="78">
        <v>3</v>
      </c>
      <c r="AA5" s="78">
        <v>1</v>
      </c>
      <c r="AB5" s="78">
        <v>0</v>
      </c>
      <c r="AC5" s="78">
        <v>10</v>
      </c>
      <c r="AD5" s="78">
        <v>3</v>
      </c>
      <c r="AE5" s="78">
        <v>1</v>
      </c>
      <c r="AF5" s="78">
        <v>66</v>
      </c>
      <c r="AG5" s="78">
        <v>4</v>
      </c>
      <c r="AH5" s="78">
        <v>1</v>
      </c>
      <c r="AI5" s="78">
        <v>6</v>
      </c>
      <c r="AJ5" s="513">
        <v>25</v>
      </c>
      <c r="AK5" s="78">
        <v>2</v>
      </c>
      <c r="AL5" s="78">
        <v>0</v>
      </c>
      <c r="AM5" s="78">
        <v>1</v>
      </c>
      <c r="AN5" s="78">
        <v>5</v>
      </c>
      <c r="AO5" s="78">
        <v>4</v>
      </c>
      <c r="AP5" s="78">
        <v>44</v>
      </c>
      <c r="AQ5" s="78">
        <v>10</v>
      </c>
      <c r="AR5" s="78">
        <v>0</v>
      </c>
      <c r="AS5" s="78">
        <v>1</v>
      </c>
      <c r="AT5" s="78">
        <v>2</v>
      </c>
      <c r="AU5" s="78">
        <v>6</v>
      </c>
      <c r="AV5" s="78">
        <v>5</v>
      </c>
      <c r="AW5" s="78">
        <v>0</v>
      </c>
      <c r="AX5" s="78">
        <v>0</v>
      </c>
      <c r="AY5" s="78">
        <v>12</v>
      </c>
      <c r="AZ5" s="78">
        <v>2</v>
      </c>
      <c r="BA5" s="78">
        <v>0</v>
      </c>
      <c r="BB5" s="78">
        <v>0</v>
      </c>
      <c r="BC5" s="78">
        <v>0</v>
      </c>
      <c r="BD5" s="78">
        <v>2</v>
      </c>
      <c r="BE5" s="78">
        <v>3</v>
      </c>
      <c r="BF5" s="78">
        <v>2</v>
      </c>
      <c r="BG5" s="78">
        <v>1</v>
      </c>
      <c r="BH5" s="78">
        <v>2</v>
      </c>
      <c r="BI5" s="78">
        <v>9</v>
      </c>
      <c r="BJ5" s="78">
        <v>0</v>
      </c>
      <c r="BK5" s="78">
        <v>0</v>
      </c>
      <c r="BL5" s="78">
        <v>0</v>
      </c>
      <c r="BM5" s="78">
        <v>0</v>
      </c>
      <c r="BN5" s="78">
        <v>0</v>
      </c>
      <c r="BO5" s="78">
        <v>0</v>
      </c>
      <c r="BP5" s="78">
        <v>0</v>
      </c>
      <c r="BQ5" s="78"/>
      <c r="BR5" s="78"/>
      <c r="BS5" s="78"/>
      <c r="BT5" s="78">
        <v>1</v>
      </c>
      <c r="BU5" s="78">
        <v>1</v>
      </c>
      <c r="BV5" s="78">
        <v>1</v>
      </c>
      <c r="BW5" s="78"/>
      <c r="BX5" s="78"/>
      <c r="BY5" s="78"/>
      <c r="BZ5" s="78"/>
      <c r="CA5" s="78"/>
      <c r="CB5" s="78"/>
      <c r="CC5" s="78"/>
      <c r="CD5" s="78"/>
      <c r="CE5" s="78"/>
      <c r="CF5" s="78">
        <v>2</v>
      </c>
      <c r="CG5" s="78"/>
      <c r="CH5" s="78"/>
      <c r="CI5" s="78"/>
      <c r="CJ5" s="78"/>
      <c r="CK5" s="78"/>
      <c r="CL5" s="78">
        <v>30</v>
      </c>
      <c r="CM5" s="78"/>
      <c r="CN5" s="78"/>
      <c r="CO5" s="78">
        <v>0</v>
      </c>
      <c r="CP5" s="78">
        <v>0</v>
      </c>
      <c r="CQ5" s="78">
        <v>0</v>
      </c>
      <c r="CR5" s="78">
        <v>0</v>
      </c>
      <c r="CS5" s="78">
        <v>0</v>
      </c>
      <c r="CT5" s="78">
        <v>0</v>
      </c>
      <c r="CU5" s="78">
        <v>0</v>
      </c>
      <c r="CV5" s="78">
        <v>0</v>
      </c>
      <c r="CW5" s="78">
        <v>0</v>
      </c>
      <c r="CX5" s="78">
        <v>0</v>
      </c>
      <c r="CY5" s="78">
        <v>0</v>
      </c>
      <c r="CZ5" s="78">
        <v>0</v>
      </c>
      <c r="DA5" s="78">
        <v>0</v>
      </c>
      <c r="DB5" s="78">
        <v>0</v>
      </c>
      <c r="DC5" s="224">
        <v>325</v>
      </c>
    </row>
    <row r="6" spans="1:108" x14ac:dyDescent="0.25">
      <c r="A6" s="217" t="s">
        <v>667</v>
      </c>
      <c r="B6" s="78">
        <v>2</v>
      </c>
      <c r="C6" s="78">
        <v>5</v>
      </c>
      <c r="D6" s="78">
        <v>0</v>
      </c>
      <c r="E6" s="78">
        <v>9</v>
      </c>
      <c r="F6" s="78">
        <v>0</v>
      </c>
      <c r="G6" s="78">
        <v>0</v>
      </c>
      <c r="H6" s="78">
        <v>4</v>
      </c>
      <c r="I6" s="78">
        <v>29</v>
      </c>
      <c r="J6" s="78">
        <v>1</v>
      </c>
      <c r="K6" s="78">
        <v>7</v>
      </c>
      <c r="L6" s="78">
        <v>0</v>
      </c>
      <c r="M6" s="78">
        <v>1</v>
      </c>
      <c r="N6" s="78">
        <v>6</v>
      </c>
      <c r="O6" s="78">
        <v>6</v>
      </c>
      <c r="P6" s="78">
        <v>8</v>
      </c>
      <c r="Q6" s="78">
        <v>0</v>
      </c>
      <c r="R6" s="78">
        <v>6</v>
      </c>
      <c r="S6" s="78">
        <v>0</v>
      </c>
      <c r="T6" s="78">
        <v>0</v>
      </c>
      <c r="U6" s="78">
        <v>8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1</v>
      </c>
      <c r="AB6" s="78">
        <v>0</v>
      </c>
      <c r="AC6" s="78">
        <v>10</v>
      </c>
      <c r="AD6" s="78">
        <v>2</v>
      </c>
      <c r="AE6" s="78">
        <v>0</v>
      </c>
      <c r="AF6" s="78">
        <v>38</v>
      </c>
      <c r="AG6" s="78">
        <v>5</v>
      </c>
      <c r="AH6" s="78">
        <v>1</v>
      </c>
      <c r="AI6" s="78">
        <v>3</v>
      </c>
      <c r="AJ6" s="513">
        <v>53</v>
      </c>
      <c r="AK6" s="78">
        <v>4</v>
      </c>
      <c r="AL6" s="78">
        <v>0</v>
      </c>
      <c r="AM6" s="78">
        <v>1</v>
      </c>
      <c r="AN6" s="78">
        <v>8</v>
      </c>
      <c r="AO6" s="78">
        <v>4</v>
      </c>
      <c r="AP6" s="78">
        <v>37</v>
      </c>
      <c r="AQ6" s="78">
        <v>9</v>
      </c>
      <c r="AR6" s="78">
        <v>0</v>
      </c>
      <c r="AS6" s="78">
        <v>1</v>
      </c>
      <c r="AT6" s="78">
        <v>4</v>
      </c>
      <c r="AU6" s="78">
        <v>13</v>
      </c>
      <c r="AV6" s="78">
        <v>3</v>
      </c>
      <c r="AW6" s="78">
        <v>0</v>
      </c>
      <c r="AX6" s="78">
        <v>0</v>
      </c>
      <c r="AY6" s="78">
        <v>17</v>
      </c>
      <c r="AZ6" s="78">
        <v>4</v>
      </c>
      <c r="BA6" s="78">
        <v>0</v>
      </c>
      <c r="BB6" s="78">
        <v>0</v>
      </c>
      <c r="BC6" s="78">
        <v>0</v>
      </c>
      <c r="BD6" s="78">
        <v>4</v>
      </c>
      <c r="BE6" s="78">
        <v>2</v>
      </c>
      <c r="BF6" s="78">
        <v>2</v>
      </c>
      <c r="BG6" s="78">
        <v>0</v>
      </c>
      <c r="BH6" s="78">
        <v>0</v>
      </c>
      <c r="BI6" s="78">
        <v>11</v>
      </c>
      <c r="BJ6" s="78">
        <v>0</v>
      </c>
      <c r="BK6" s="78">
        <v>0</v>
      </c>
      <c r="BL6" s="78">
        <v>0</v>
      </c>
      <c r="BM6" s="78">
        <v>0</v>
      </c>
      <c r="BN6" s="78">
        <v>0</v>
      </c>
      <c r="BO6" s="78">
        <v>0</v>
      </c>
      <c r="BP6" s="78">
        <v>0</v>
      </c>
      <c r="BQ6" s="78"/>
      <c r="BR6" s="78">
        <v>3</v>
      </c>
      <c r="BS6" s="78"/>
      <c r="BT6" s="78">
        <v>3</v>
      </c>
      <c r="BU6" s="78">
        <v>2</v>
      </c>
      <c r="BV6" s="78">
        <v>3</v>
      </c>
      <c r="BW6" s="78"/>
      <c r="BX6" s="78"/>
      <c r="BY6" s="78"/>
      <c r="BZ6" s="78"/>
      <c r="CA6" s="78"/>
      <c r="CB6" s="78"/>
      <c r="CC6" s="78"/>
      <c r="CD6" s="78"/>
      <c r="CE6" s="78"/>
      <c r="CF6" s="78">
        <v>1</v>
      </c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224">
        <v>341</v>
      </c>
    </row>
    <row r="7" spans="1:108" x14ac:dyDescent="0.25">
      <c r="A7" s="217" t="s">
        <v>668</v>
      </c>
      <c r="B7" s="78">
        <v>2</v>
      </c>
      <c r="C7" s="78">
        <v>1</v>
      </c>
      <c r="D7" s="78">
        <v>0</v>
      </c>
      <c r="E7" s="78">
        <v>1</v>
      </c>
      <c r="F7" s="78">
        <v>0</v>
      </c>
      <c r="G7" s="78">
        <v>0</v>
      </c>
      <c r="H7" s="78">
        <v>1</v>
      </c>
      <c r="I7" s="78">
        <v>9</v>
      </c>
      <c r="J7" s="78">
        <v>1</v>
      </c>
      <c r="K7" s="78">
        <v>4</v>
      </c>
      <c r="L7" s="78">
        <v>0</v>
      </c>
      <c r="M7" s="78">
        <v>0</v>
      </c>
      <c r="N7" s="78">
        <v>2</v>
      </c>
      <c r="O7" s="78">
        <v>0</v>
      </c>
      <c r="P7" s="78">
        <v>11</v>
      </c>
      <c r="Q7" s="78">
        <v>0</v>
      </c>
      <c r="R7" s="78">
        <v>4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3</v>
      </c>
      <c r="AA7" s="78">
        <v>0</v>
      </c>
      <c r="AB7" s="78">
        <v>0</v>
      </c>
      <c r="AC7" s="78">
        <v>8</v>
      </c>
      <c r="AD7" s="78">
        <v>2</v>
      </c>
      <c r="AE7" s="78">
        <v>1</v>
      </c>
      <c r="AF7" s="78">
        <v>5</v>
      </c>
      <c r="AG7" s="78">
        <v>1</v>
      </c>
      <c r="AH7" s="78">
        <v>2</v>
      </c>
      <c r="AI7" s="78">
        <v>2</v>
      </c>
      <c r="AJ7" s="513">
        <v>4</v>
      </c>
      <c r="AK7" s="78">
        <v>1</v>
      </c>
      <c r="AL7" s="78">
        <v>0</v>
      </c>
      <c r="AM7" s="78">
        <v>0</v>
      </c>
      <c r="AN7" s="78">
        <v>1</v>
      </c>
      <c r="AO7" s="78">
        <v>0</v>
      </c>
      <c r="AP7" s="78">
        <v>21</v>
      </c>
      <c r="AQ7" s="78">
        <v>6</v>
      </c>
      <c r="AR7" s="78">
        <v>0</v>
      </c>
      <c r="AS7" s="78">
        <v>2</v>
      </c>
      <c r="AT7" s="78">
        <v>1</v>
      </c>
      <c r="AU7" s="78">
        <v>3</v>
      </c>
      <c r="AV7" s="78">
        <v>2</v>
      </c>
      <c r="AW7" s="78">
        <v>6</v>
      </c>
      <c r="AX7" s="78">
        <v>0</v>
      </c>
      <c r="AY7" s="78">
        <v>7</v>
      </c>
      <c r="AZ7" s="78">
        <v>3</v>
      </c>
      <c r="BA7" s="78">
        <v>0</v>
      </c>
      <c r="BB7" s="78">
        <v>0</v>
      </c>
      <c r="BC7" s="78">
        <v>0</v>
      </c>
      <c r="BD7" s="78">
        <v>2</v>
      </c>
      <c r="BE7" s="78">
        <v>0</v>
      </c>
      <c r="BF7" s="78">
        <v>2</v>
      </c>
      <c r="BG7" s="78">
        <v>1</v>
      </c>
      <c r="BH7" s="78">
        <v>2</v>
      </c>
      <c r="BI7" s="78">
        <v>2</v>
      </c>
      <c r="BJ7" s="78">
        <v>0</v>
      </c>
      <c r="BK7" s="78">
        <v>0</v>
      </c>
      <c r="BL7" s="78">
        <v>0</v>
      </c>
      <c r="BM7" s="78">
        <v>0</v>
      </c>
      <c r="BN7" s="78">
        <v>0</v>
      </c>
      <c r="BO7" s="78">
        <v>0</v>
      </c>
      <c r="BP7" s="78">
        <v>0</v>
      </c>
      <c r="BQ7" s="78"/>
      <c r="BR7" s="78"/>
      <c r="BS7" s="78"/>
      <c r="BT7" s="78">
        <v>1</v>
      </c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>
        <v>1</v>
      </c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224">
        <v>128</v>
      </c>
    </row>
    <row r="8" spans="1:108" x14ac:dyDescent="0.25">
      <c r="A8" s="217" t="s">
        <v>669</v>
      </c>
      <c r="B8" s="78">
        <v>2</v>
      </c>
      <c r="C8" s="78">
        <v>3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17</v>
      </c>
      <c r="J8" s="78">
        <v>1</v>
      </c>
      <c r="K8" s="78">
        <v>6</v>
      </c>
      <c r="L8" s="78">
        <v>0</v>
      </c>
      <c r="M8" s="78">
        <v>0</v>
      </c>
      <c r="N8" s="78">
        <v>3</v>
      </c>
      <c r="O8" s="78">
        <v>0</v>
      </c>
      <c r="P8" s="78">
        <v>8</v>
      </c>
      <c r="Q8" s="78">
        <v>0</v>
      </c>
      <c r="R8" s="78">
        <v>4</v>
      </c>
      <c r="S8" s="78">
        <v>0</v>
      </c>
      <c r="T8" s="78">
        <v>0</v>
      </c>
      <c r="U8" s="78">
        <v>1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8</v>
      </c>
      <c r="AD8" s="78">
        <v>2</v>
      </c>
      <c r="AE8" s="78">
        <v>0</v>
      </c>
      <c r="AF8" s="78">
        <v>7</v>
      </c>
      <c r="AG8" s="78">
        <v>2</v>
      </c>
      <c r="AH8" s="78">
        <v>2</v>
      </c>
      <c r="AI8" s="78">
        <v>1</v>
      </c>
      <c r="AJ8" s="513">
        <v>26</v>
      </c>
      <c r="AK8" s="78">
        <v>3</v>
      </c>
      <c r="AL8" s="78">
        <v>0</v>
      </c>
      <c r="AM8" s="78">
        <v>0</v>
      </c>
      <c r="AN8" s="78">
        <v>0</v>
      </c>
      <c r="AO8" s="78">
        <v>0</v>
      </c>
      <c r="AP8" s="78">
        <v>19</v>
      </c>
      <c r="AQ8" s="78">
        <v>7</v>
      </c>
      <c r="AR8" s="78">
        <v>0</v>
      </c>
      <c r="AS8" s="78">
        <v>2</v>
      </c>
      <c r="AT8" s="78">
        <v>2</v>
      </c>
      <c r="AU8" s="78">
        <v>9</v>
      </c>
      <c r="AV8" s="78">
        <v>2</v>
      </c>
      <c r="AW8" s="78">
        <v>6</v>
      </c>
      <c r="AX8" s="78">
        <v>0</v>
      </c>
      <c r="AY8" s="78">
        <v>11</v>
      </c>
      <c r="AZ8" s="78">
        <v>3</v>
      </c>
      <c r="BA8" s="78">
        <v>0</v>
      </c>
      <c r="BB8" s="78">
        <v>0</v>
      </c>
      <c r="BC8" s="78">
        <v>0</v>
      </c>
      <c r="BD8" s="78">
        <v>2</v>
      </c>
      <c r="BE8" s="78">
        <v>0</v>
      </c>
      <c r="BF8" s="78">
        <v>2</v>
      </c>
      <c r="BG8" s="78">
        <v>0</v>
      </c>
      <c r="BH8" s="78">
        <v>0</v>
      </c>
      <c r="BI8" s="78">
        <v>4</v>
      </c>
      <c r="BJ8" s="78">
        <v>0</v>
      </c>
      <c r="BK8" s="78">
        <v>0</v>
      </c>
      <c r="BL8" s="78">
        <v>0</v>
      </c>
      <c r="BM8" s="78">
        <v>0</v>
      </c>
      <c r="BN8" s="78">
        <v>0</v>
      </c>
      <c r="BO8" s="78">
        <v>0</v>
      </c>
      <c r="BP8" s="78">
        <v>0</v>
      </c>
      <c r="BQ8" s="78"/>
      <c r="BR8" s="78">
        <v>3</v>
      </c>
      <c r="BS8" s="78"/>
      <c r="BT8" s="78">
        <v>2</v>
      </c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>
        <v>1</v>
      </c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224">
        <v>171</v>
      </c>
    </row>
    <row r="9" spans="1:108" x14ac:dyDescent="0.25">
      <c r="A9" s="217" t="s">
        <v>670</v>
      </c>
      <c r="B9" s="78">
        <v>2</v>
      </c>
      <c r="C9" s="78">
        <v>2</v>
      </c>
      <c r="D9" s="78">
        <v>0</v>
      </c>
      <c r="E9" s="78">
        <v>2</v>
      </c>
      <c r="F9" s="78">
        <v>0</v>
      </c>
      <c r="G9" s="78">
        <v>0</v>
      </c>
      <c r="H9" s="78">
        <v>1</v>
      </c>
      <c r="I9" s="78">
        <v>7</v>
      </c>
      <c r="J9" s="78">
        <v>1</v>
      </c>
      <c r="K9" s="78">
        <v>3</v>
      </c>
      <c r="L9" s="78">
        <v>0</v>
      </c>
      <c r="M9" s="78">
        <v>0</v>
      </c>
      <c r="N9" s="78">
        <v>15</v>
      </c>
      <c r="O9" s="78">
        <v>0</v>
      </c>
      <c r="P9" s="78">
        <v>7</v>
      </c>
      <c r="Q9" s="78">
        <v>0</v>
      </c>
      <c r="R9" s="78">
        <v>0</v>
      </c>
      <c r="S9" s="78">
        <v>3</v>
      </c>
      <c r="T9" s="78">
        <v>0</v>
      </c>
      <c r="U9" s="78">
        <v>4</v>
      </c>
      <c r="V9" s="78">
        <v>0</v>
      </c>
      <c r="W9" s="78">
        <v>0</v>
      </c>
      <c r="X9" s="78">
        <v>0</v>
      </c>
      <c r="Y9" s="78">
        <v>0</v>
      </c>
      <c r="Z9" s="78">
        <v>2</v>
      </c>
      <c r="AA9" s="78">
        <v>0</v>
      </c>
      <c r="AB9" s="78">
        <v>0</v>
      </c>
      <c r="AC9" s="78">
        <v>9</v>
      </c>
      <c r="AD9" s="78">
        <v>1</v>
      </c>
      <c r="AE9" s="78">
        <v>2</v>
      </c>
      <c r="AF9" s="78">
        <v>13</v>
      </c>
      <c r="AG9" s="78">
        <v>3</v>
      </c>
      <c r="AH9" s="78">
        <v>0</v>
      </c>
      <c r="AI9" s="78">
        <v>1</v>
      </c>
      <c r="AJ9" s="513">
        <v>15</v>
      </c>
      <c r="AK9" s="78">
        <v>9</v>
      </c>
      <c r="AL9" s="78">
        <v>0</v>
      </c>
      <c r="AM9" s="78">
        <v>0</v>
      </c>
      <c r="AN9" s="78">
        <v>1</v>
      </c>
      <c r="AO9" s="78">
        <v>1</v>
      </c>
      <c r="AP9" s="78">
        <v>18</v>
      </c>
      <c r="AQ9" s="78">
        <v>14</v>
      </c>
      <c r="AR9" s="78">
        <v>0</v>
      </c>
      <c r="AS9" s="78">
        <v>0</v>
      </c>
      <c r="AT9" s="78">
        <v>2</v>
      </c>
      <c r="AU9" s="78">
        <v>4</v>
      </c>
      <c r="AV9" s="78">
        <v>0</v>
      </c>
      <c r="AW9" s="78">
        <v>1</v>
      </c>
      <c r="AX9" s="78">
        <v>0</v>
      </c>
      <c r="AY9" s="78">
        <v>6</v>
      </c>
      <c r="AZ9" s="78">
        <v>4</v>
      </c>
      <c r="BA9" s="78">
        <v>0</v>
      </c>
      <c r="BB9" s="78">
        <v>0</v>
      </c>
      <c r="BC9" s="78">
        <v>0</v>
      </c>
      <c r="BD9" s="78">
        <v>2</v>
      </c>
      <c r="BE9" s="78">
        <v>0</v>
      </c>
      <c r="BF9" s="78">
        <v>0</v>
      </c>
      <c r="BG9" s="78">
        <v>1</v>
      </c>
      <c r="BH9" s="78">
        <v>0</v>
      </c>
      <c r="BI9" s="78">
        <v>6</v>
      </c>
      <c r="BJ9" s="78">
        <v>0</v>
      </c>
      <c r="BK9" s="78">
        <v>0</v>
      </c>
      <c r="BL9" s="78">
        <v>0</v>
      </c>
      <c r="BM9" s="78">
        <v>0</v>
      </c>
      <c r="BN9" s="78">
        <v>0</v>
      </c>
      <c r="BO9" s="78">
        <v>0</v>
      </c>
      <c r="BP9" s="78">
        <v>0</v>
      </c>
      <c r="BQ9" s="78"/>
      <c r="BR9" s="78"/>
      <c r="BS9" s="78"/>
      <c r="BT9" s="78">
        <v>1</v>
      </c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>
        <v>1</v>
      </c>
      <c r="CG9" s="78"/>
      <c r="CH9" s="78"/>
      <c r="CI9" s="78"/>
      <c r="CJ9" s="78"/>
      <c r="CK9" s="78"/>
      <c r="CL9" s="78">
        <v>30</v>
      </c>
      <c r="CM9" s="78"/>
      <c r="CN9" s="78">
        <v>3</v>
      </c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224">
        <v>197</v>
      </c>
    </row>
    <row r="10" spans="1:108" x14ac:dyDescent="0.25">
      <c r="A10" s="217" t="s">
        <v>671</v>
      </c>
      <c r="B10" s="78">
        <v>2</v>
      </c>
      <c r="C10" s="78">
        <v>4</v>
      </c>
      <c r="D10" s="78">
        <v>0</v>
      </c>
      <c r="E10" s="78">
        <v>9</v>
      </c>
      <c r="F10" s="78">
        <v>0</v>
      </c>
      <c r="G10" s="78">
        <v>0</v>
      </c>
      <c r="H10" s="78">
        <v>1</v>
      </c>
      <c r="I10" s="78">
        <v>34</v>
      </c>
      <c r="J10" s="78">
        <v>1</v>
      </c>
      <c r="K10" s="78">
        <v>3</v>
      </c>
      <c r="L10" s="78">
        <v>0</v>
      </c>
      <c r="M10" s="78">
        <v>0</v>
      </c>
      <c r="N10" s="78">
        <v>18</v>
      </c>
      <c r="O10" s="78">
        <v>0</v>
      </c>
      <c r="P10" s="78">
        <v>2</v>
      </c>
      <c r="Q10" s="78">
        <v>0</v>
      </c>
      <c r="R10" s="78">
        <v>0</v>
      </c>
      <c r="S10" s="78">
        <v>3</v>
      </c>
      <c r="T10" s="78">
        <v>0</v>
      </c>
      <c r="U10" s="78">
        <v>5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10</v>
      </c>
      <c r="AD10" s="78">
        <v>0</v>
      </c>
      <c r="AE10" s="78">
        <v>9</v>
      </c>
      <c r="AF10" s="78">
        <v>21</v>
      </c>
      <c r="AG10" s="78">
        <v>5</v>
      </c>
      <c r="AH10" s="78">
        <v>0</v>
      </c>
      <c r="AI10" s="78">
        <v>0</v>
      </c>
      <c r="AJ10" s="513">
        <v>25</v>
      </c>
      <c r="AK10" s="78">
        <v>20</v>
      </c>
      <c r="AL10" s="78">
        <v>0</v>
      </c>
      <c r="AM10" s="78">
        <v>0</v>
      </c>
      <c r="AN10" s="78">
        <v>0</v>
      </c>
      <c r="AO10" s="78">
        <v>2</v>
      </c>
      <c r="AP10" s="78">
        <v>19</v>
      </c>
      <c r="AQ10" s="78">
        <v>20</v>
      </c>
      <c r="AR10" s="78">
        <v>0</v>
      </c>
      <c r="AS10" s="78">
        <v>0</v>
      </c>
      <c r="AT10" s="78">
        <v>2</v>
      </c>
      <c r="AU10" s="78">
        <v>8</v>
      </c>
      <c r="AV10" s="78">
        <v>0</v>
      </c>
      <c r="AW10" s="78">
        <v>1</v>
      </c>
      <c r="AX10" s="78">
        <v>0</v>
      </c>
      <c r="AY10" s="78">
        <v>9</v>
      </c>
      <c r="AZ10" s="78">
        <v>4</v>
      </c>
      <c r="BA10" s="78">
        <v>0</v>
      </c>
      <c r="BB10" s="78">
        <v>0</v>
      </c>
      <c r="BC10" s="78">
        <v>0</v>
      </c>
      <c r="BD10" s="78">
        <v>2</v>
      </c>
      <c r="BE10" s="78">
        <v>0</v>
      </c>
      <c r="BF10" s="78">
        <v>0</v>
      </c>
      <c r="BG10" s="78"/>
      <c r="BH10" s="78">
        <v>0</v>
      </c>
      <c r="BI10" s="78">
        <v>13</v>
      </c>
      <c r="BJ10" s="78">
        <v>0</v>
      </c>
      <c r="BK10" s="78">
        <v>0</v>
      </c>
      <c r="BL10" s="78">
        <v>0</v>
      </c>
      <c r="BM10" s="78">
        <v>0</v>
      </c>
      <c r="BN10" s="78">
        <v>0</v>
      </c>
      <c r="BO10" s="78">
        <v>0</v>
      </c>
      <c r="BP10" s="78">
        <v>0</v>
      </c>
      <c r="BQ10" s="78"/>
      <c r="BR10" s="78">
        <v>3</v>
      </c>
      <c r="BS10" s="78"/>
      <c r="BT10" s="78">
        <v>2</v>
      </c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>
        <v>1</v>
      </c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224">
        <v>258</v>
      </c>
    </row>
    <row r="11" spans="1:108" s="408" customFormat="1" x14ac:dyDescent="0.25">
      <c r="A11" s="512" t="s">
        <v>672</v>
      </c>
      <c r="B11" s="513">
        <v>6</v>
      </c>
      <c r="C11" s="513">
        <v>19</v>
      </c>
      <c r="D11" s="513">
        <v>10</v>
      </c>
      <c r="E11" s="513">
        <v>18</v>
      </c>
      <c r="F11" s="513">
        <v>11</v>
      </c>
      <c r="G11" s="513">
        <v>2</v>
      </c>
      <c r="H11" s="513">
        <v>6</v>
      </c>
      <c r="I11" s="513">
        <v>125</v>
      </c>
      <c r="J11" s="513">
        <v>8</v>
      </c>
      <c r="K11" s="513">
        <v>23</v>
      </c>
      <c r="L11" s="513">
        <v>0</v>
      </c>
      <c r="M11" s="513">
        <v>27</v>
      </c>
      <c r="N11" s="513">
        <v>15</v>
      </c>
      <c r="O11" s="513">
        <v>10</v>
      </c>
      <c r="P11" s="513">
        <v>39</v>
      </c>
      <c r="Q11" s="513">
        <v>4</v>
      </c>
      <c r="R11" s="513">
        <v>14</v>
      </c>
      <c r="S11" s="513">
        <v>21</v>
      </c>
      <c r="T11" s="513">
        <v>0</v>
      </c>
      <c r="U11" s="513">
        <v>86</v>
      </c>
      <c r="V11" s="513">
        <v>1</v>
      </c>
      <c r="W11" s="513">
        <v>2</v>
      </c>
      <c r="X11" s="513">
        <v>9</v>
      </c>
      <c r="Y11" s="513">
        <v>3</v>
      </c>
      <c r="Z11" s="513">
        <v>68</v>
      </c>
      <c r="AA11" s="513">
        <v>33</v>
      </c>
      <c r="AB11" s="513">
        <v>4</v>
      </c>
      <c r="AC11" s="513">
        <v>12</v>
      </c>
      <c r="AD11" s="513">
        <v>11</v>
      </c>
      <c r="AE11" s="513">
        <v>14</v>
      </c>
      <c r="AF11" s="513">
        <v>332</v>
      </c>
      <c r="AG11" s="513">
        <v>12</v>
      </c>
      <c r="AH11" s="513">
        <v>8</v>
      </c>
      <c r="AI11" s="513">
        <v>16</v>
      </c>
      <c r="AJ11" s="513">
        <v>155</v>
      </c>
      <c r="AK11" s="513">
        <v>11</v>
      </c>
      <c r="AL11" s="513">
        <v>16</v>
      </c>
      <c r="AM11" s="513">
        <v>52</v>
      </c>
      <c r="AN11" s="513">
        <v>19</v>
      </c>
      <c r="AO11" s="513">
        <v>4</v>
      </c>
      <c r="AP11" s="513">
        <v>248</v>
      </c>
      <c r="AQ11" s="513">
        <v>40</v>
      </c>
      <c r="AR11" s="513">
        <v>8</v>
      </c>
      <c r="AS11" s="513">
        <v>12</v>
      </c>
      <c r="AT11" s="513">
        <v>3</v>
      </c>
      <c r="AU11" s="513">
        <v>2</v>
      </c>
      <c r="AV11" s="513">
        <v>43</v>
      </c>
      <c r="AW11" s="513">
        <v>15</v>
      </c>
      <c r="AX11" s="513">
        <v>48</v>
      </c>
      <c r="AY11" s="513">
        <v>65</v>
      </c>
      <c r="AZ11" s="513">
        <v>5</v>
      </c>
      <c r="BA11" s="513">
        <v>0</v>
      </c>
      <c r="BB11" s="513">
        <v>1</v>
      </c>
      <c r="BC11" s="513">
        <v>2</v>
      </c>
      <c r="BD11" s="513">
        <v>7</v>
      </c>
      <c r="BE11" s="513">
        <v>2</v>
      </c>
      <c r="BF11" s="513">
        <v>1</v>
      </c>
      <c r="BG11" s="513">
        <v>1</v>
      </c>
      <c r="BH11" s="513">
        <v>2</v>
      </c>
      <c r="BI11" s="513">
        <v>19</v>
      </c>
      <c r="BJ11" s="513">
        <v>0</v>
      </c>
      <c r="BK11" s="513">
        <v>1</v>
      </c>
      <c r="BL11" s="513">
        <v>2</v>
      </c>
      <c r="BM11" s="513">
        <v>1</v>
      </c>
      <c r="BN11" s="513">
        <v>38</v>
      </c>
      <c r="BO11" s="513">
        <v>1</v>
      </c>
      <c r="BP11" s="513">
        <v>1</v>
      </c>
      <c r="BQ11" s="513">
        <v>3</v>
      </c>
      <c r="BR11" s="513">
        <v>74</v>
      </c>
      <c r="BS11" s="513">
        <v>2</v>
      </c>
      <c r="BT11" s="513">
        <v>5</v>
      </c>
      <c r="BU11" s="513">
        <v>2</v>
      </c>
      <c r="BV11" s="513">
        <v>7</v>
      </c>
      <c r="BW11" s="513"/>
      <c r="BX11" s="513"/>
      <c r="BY11" s="513"/>
      <c r="BZ11" s="513"/>
      <c r="CA11" s="513"/>
      <c r="CB11" s="513">
        <v>1</v>
      </c>
      <c r="CC11" s="513">
        <v>30</v>
      </c>
      <c r="CD11" s="513"/>
      <c r="CE11" s="513"/>
      <c r="CF11" s="513">
        <v>30</v>
      </c>
      <c r="CG11" s="513">
        <v>2</v>
      </c>
      <c r="CH11" s="513"/>
      <c r="CI11" s="513">
        <v>1</v>
      </c>
      <c r="CJ11" s="513">
        <v>26</v>
      </c>
      <c r="CK11" s="513">
        <v>28</v>
      </c>
      <c r="CL11" s="513">
        <v>30</v>
      </c>
      <c r="CM11" s="513">
        <v>8</v>
      </c>
      <c r="CN11" s="513">
        <v>1</v>
      </c>
      <c r="CO11" s="513"/>
      <c r="CP11" s="513"/>
      <c r="CQ11" s="513"/>
      <c r="CR11" s="513"/>
      <c r="CS11" s="513"/>
      <c r="CT11" s="513"/>
      <c r="CU11" s="513"/>
      <c r="CV11" s="513">
        <v>2</v>
      </c>
      <c r="CW11" s="513"/>
      <c r="CX11" s="513"/>
      <c r="CY11" s="513"/>
      <c r="CZ11" s="513"/>
      <c r="DA11" s="513"/>
      <c r="DB11" s="513"/>
      <c r="DC11" s="514">
        <v>2046</v>
      </c>
    </row>
    <row r="12" spans="1:108" x14ac:dyDescent="0.25">
      <c r="A12" s="217" t="s">
        <v>673</v>
      </c>
      <c r="B12" s="78">
        <v>0</v>
      </c>
      <c r="C12" s="78">
        <v>0</v>
      </c>
      <c r="D12" s="78">
        <v>6</v>
      </c>
      <c r="E12" s="78">
        <v>19</v>
      </c>
      <c r="F12" s="78">
        <v>13</v>
      </c>
      <c r="G12" s="78">
        <v>0</v>
      </c>
      <c r="H12" s="78">
        <v>7</v>
      </c>
      <c r="I12" s="78">
        <v>17</v>
      </c>
      <c r="J12" s="78">
        <v>4</v>
      </c>
      <c r="K12" s="78">
        <v>5</v>
      </c>
      <c r="L12" s="78">
        <v>0</v>
      </c>
      <c r="M12" s="78">
        <v>13</v>
      </c>
      <c r="N12" s="78">
        <v>2</v>
      </c>
      <c r="O12" s="78">
        <v>6</v>
      </c>
      <c r="P12" s="78">
        <v>27</v>
      </c>
      <c r="Q12" s="78">
        <v>2</v>
      </c>
      <c r="R12" s="78">
        <v>5</v>
      </c>
      <c r="S12" s="78">
        <v>3</v>
      </c>
      <c r="T12" s="78">
        <v>0</v>
      </c>
      <c r="U12" s="78">
        <v>44</v>
      </c>
      <c r="V12" s="78">
        <v>1</v>
      </c>
      <c r="W12" s="78">
        <v>2</v>
      </c>
      <c r="X12" s="78">
        <v>6</v>
      </c>
      <c r="Y12" s="78">
        <v>1</v>
      </c>
      <c r="Z12" s="78">
        <v>5</v>
      </c>
      <c r="AA12" s="78">
        <v>12</v>
      </c>
      <c r="AB12" s="78">
        <v>1</v>
      </c>
      <c r="AC12" s="78">
        <v>2</v>
      </c>
      <c r="AD12" s="78">
        <v>4</v>
      </c>
      <c r="AE12" s="78">
        <v>3</v>
      </c>
      <c r="AF12" s="78">
        <v>63</v>
      </c>
      <c r="AG12" s="78">
        <v>11</v>
      </c>
      <c r="AH12" s="78">
        <v>4</v>
      </c>
      <c r="AI12" s="78">
        <v>7</v>
      </c>
      <c r="AJ12" s="513">
        <v>87</v>
      </c>
      <c r="AK12" s="78">
        <v>6</v>
      </c>
      <c r="AL12" s="78">
        <v>0</v>
      </c>
      <c r="AM12" s="78">
        <v>11</v>
      </c>
      <c r="AN12" s="78">
        <v>12</v>
      </c>
      <c r="AO12" s="78">
        <v>1</v>
      </c>
      <c r="AP12" s="78">
        <v>100</v>
      </c>
      <c r="AQ12" s="78">
        <v>12</v>
      </c>
      <c r="AR12" s="78">
        <v>3</v>
      </c>
      <c r="AS12" s="78">
        <v>2</v>
      </c>
      <c r="AT12" s="78">
        <v>8</v>
      </c>
      <c r="AU12" s="78">
        <v>0</v>
      </c>
      <c r="AV12" s="78">
        <v>8</v>
      </c>
      <c r="AW12" s="78">
        <v>11</v>
      </c>
      <c r="AX12" s="78">
        <v>3</v>
      </c>
      <c r="AY12" s="78">
        <v>21</v>
      </c>
      <c r="AZ12" s="78">
        <v>7</v>
      </c>
      <c r="BA12" s="78">
        <v>0</v>
      </c>
      <c r="BB12" s="78">
        <v>1</v>
      </c>
      <c r="BC12" s="78">
        <v>1</v>
      </c>
      <c r="BD12" s="78">
        <v>5</v>
      </c>
      <c r="BE12" s="78">
        <v>3</v>
      </c>
      <c r="BF12" s="78">
        <v>1</v>
      </c>
      <c r="BG12" s="78">
        <v>1</v>
      </c>
      <c r="BH12" s="78">
        <v>2</v>
      </c>
      <c r="BI12" s="78">
        <v>9</v>
      </c>
      <c r="BJ12" s="78">
        <v>0</v>
      </c>
      <c r="BK12" s="78">
        <v>1</v>
      </c>
      <c r="BL12" s="78">
        <v>1</v>
      </c>
      <c r="BM12" s="78">
        <v>2</v>
      </c>
      <c r="BN12" s="78">
        <v>3</v>
      </c>
      <c r="BO12" s="78">
        <v>1</v>
      </c>
      <c r="BP12" s="78">
        <v>1</v>
      </c>
      <c r="BQ12" s="78">
        <v>3</v>
      </c>
      <c r="BR12" s="78"/>
      <c r="BS12" s="78"/>
      <c r="BT12" s="78"/>
      <c r="BU12" s="78"/>
      <c r="BV12" s="78"/>
      <c r="BW12" s="78">
        <v>2</v>
      </c>
      <c r="BX12" s="78">
        <v>2</v>
      </c>
      <c r="BY12" s="78"/>
      <c r="BZ12" s="78"/>
      <c r="CA12" s="78"/>
      <c r="CB12" s="78"/>
      <c r="CC12" s="78">
        <v>9</v>
      </c>
      <c r="CD12" s="78"/>
      <c r="CE12" s="78"/>
      <c r="CF12" s="78">
        <v>30</v>
      </c>
      <c r="CG12" s="78">
        <v>1</v>
      </c>
      <c r="CH12" s="78"/>
      <c r="CI12" s="78"/>
      <c r="CJ12" s="78">
        <v>2</v>
      </c>
      <c r="CK12" s="78">
        <v>2</v>
      </c>
      <c r="CL12" s="78">
        <v>30</v>
      </c>
      <c r="CM12" s="78">
        <v>1</v>
      </c>
      <c r="CN12" s="78"/>
      <c r="CO12" s="78"/>
      <c r="CP12" s="78"/>
      <c r="CQ12" s="78"/>
      <c r="CR12" s="78"/>
      <c r="CS12" s="78"/>
      <c r="CT12" s="78"/>
      <c r="CU12" s="78"/>
      <c r="CV12" s="78">
        <v>6</v>
      </c>
      <c r="CW12" s="78"/>
      <c r="CX12" s="78"/>
      <c r="CY12" s="78"/>
      <c r="CZ12" s="78"/>
      <c r="DA12" s="78"/>
      <c r="DB12" s="78"/>
      <c r="DC12" s="224">
        <v>707</v>
      </c>
    </row>
    <row r="13" spans="1:108" x14ac:dyDescent="0.25">
      <c r="A13" s="217" t="s">
        <v>674</v>
      </c>
      <c r="B13" s="78">
        <v>10</v>
      </c>
      <c r="C13" s="78">
        <v>2</v>
      </c>
      <c r="D13" s="78">
        <v>3</v>
      </c>
      <c r="E13" s="78">
        <v>0</v>
      </c>
      <c r="F13" s="78">
        <v>31</v>
      </c>
      <c r="G13" s="78">
        <v>0</v>
      </c>
      <c r="H13" s="78">
        <v>1</v>
      </c>
      <c r="I13" s="78">
        <v>13</v>
      </c>
      <c r="J13" s="78">
        <v>2</v>
      </c>
      <c r="K13" s="78">
        <v>4</v>
      </c>
      <c r="L13" s="78">
        <v>0</v>
      </c>
      <c r="M13" s="78">
        <v>0</v>
      </c>
      <c r="N13" s="78">
        <v>22</v>
      </c>
      <c r="O13" s="78">
        <v>0</v>
      </c>
      <c r="P13" s="78">
        <v>24</v>
      </c>
      <c r="Q13" s="78">
        <v>2</v>
      </c>
      <c r="R13" s="78">
        <v>11</v>
      </c>
      <c r="S13" s="78">
        <v>0</v>
      </c>
      <c r="T13" s="78">
        <v>0</v>
      </c>
      <c r="U13" s="78">
        <v>7</v>
      </c>
      <c r="V13" s="78">
        <v>1</v>
      </c>
      <c r="W13" s="78">
        <v>1</v>
      </c>
      <c r="X13" s="78">
        <v>4</v>
      </c>
      <c r="Y13" s="78">
        <v>1</v>
      </c>
      <c r="Z13" s="78">
        <v>24</v>
      </c>
      <c r="AA13" s="78">
        <v>2</v>
      </c>
      <c r="AB13" s="78">
        <v>1</v>
      </c>
      <c r="AC13" s="78">
        <v>5</v>
      </c>
      <c r="AD13" s="78">
        <v>4</v>
      </c>
      <c r="AE13" s="78">
        <v>3</v>
      </c>
      <c r="AF13" s="78">
        <v>31</v>
      </c>
      <c r="AG13" s="78">
        <v>1</v>
      </c>
      <c r="AH13" s="78">
        <v>2</v>
      </c>
      <c r="AI13" s="78">
        <v>16</v>
      </c>
      <c r="AJ13" s="513">
        <v>58</v>
      </c>
      <c r="AK13" s="78">
        <v>1</v>
      </c>
      <c r="AL13" s="78">
        <v>3</v>
      </c>
      <c r="AM13" s="78">
        <v>28</v>
      </c>
      <c r="AN13" s="78">
        <v>47</v>
      </c>
      <c r="AO13" s="78">
        <v>0</v>
      </c>
      <c r="AP13" s="78">
        <v>60</v>
      </c>
      <c r="AQ13" s="78">
        <v>13</v>
      </c>
      <c r="AR13" s="78">
        <v>8</v>
      </c>
      <c r="AS13" s="78">
        <v>1</v>
      </c>
      <c r="AT13" s="78">
        <v>2</v>
      </c>
      <c r="AU13" s="78">
        <v>2</v>
      </c>
      <c r="AV13" s="78">
        <v>9</v>
      </c>
      <c r="AW13" s="78">
        <v>32</v>
      </c>
      <c r="AX13" s="78">
        <v>0</v>
      </c>
      <c r="AY13" s="78">
        <v>8</v>
      </c>
      <c r="AZ13" s="78">
        <v>2</v>
      </c>
      <c r="BA13" s="78">
        <v>0</v>
      </c>
      <c r="BB13" s="78">
        <v>1</v>
      </c>
      <c r="BC13" s="78">
        <v>0</v>
      </c>
      <c r="BD13" s="78">
        <v>3</v>
      </c>
      <c r="BE13" s="78">
        <v>0</v>
      </c>
      <c r="BF13" s="78">
        <v>0</v>
      </c>
      <c r="BG13" s="78">
        <v>1</v>
      </c>
      <c r="BH13" s="78">
        <v>3</v>
      </c>
      <c r="BI13" s="78">
        <v>4</v>
      </c>
      <c r="BJ13" s="78">
        <v>0</v>
      </c>
      <c r="BK13" s="78">
        <v>0</v>
      </c>
      <c r="BL13" s="78">
        <v>1</v>
      </c>
      <c r="BM13" s="78">
        <v>1</v>
      </c>
      <c r="BN13" s="78">
        <v>2</v>
      </c>
      <c r="BO13" s="78">
        <v>1</v>
      </c>
      <c r="BP13" s="78">
        <v>1</v>
      </c>
      <c r="BQ13" s="78">
        <v>3</v>
      </c>
      <c r="BR13" s="78"/>
      <c r="BS13" s="78">
        <v>2</v>
      </c>
      <c r="BT13" s="78">
        <v>3</v>
      </c>
      <c r="BU13" s="78"/>
      <c r="BV13" s="78"/>
      <c r="BW13" s="78">
        <v>6</v>
      </c>
      <c r="BX13" s="78"/>
      <c r="BY13" s="78"/>
      <c r="BZ13" s="78"/>
      <c r="CA13" s="78"/>
      <c r="CB13" s="78"/>
      <c r="CC13" s="78">
        <v>9</v>
      </c>
      <c r="CD13" s="78"/>
      <c r="CE13" s="78">
        <v>2</v>
      </c>
      <c r="CF13" s="78">
        <v>35</v>
      </c>
      <c r="CG13" s="78"/>
      <c r="CH13" s="78"/>
      <c r="CI13" s="78"/>
      <c r="CJ13" s="78">
        <v>10</v>
      </c>
      <c r="CK13" s="78"/>
      <c r="CL13" s="78">
        <v>30</v>
      </c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224">
        <v>620</v>
      </c>
    </row>
    <row r="14" spans="1:108" s="408" customFormat="1" x14ac:dyDescent="0.25">
      <c r="A14" s="512" t="s">
        <v>675</v>
      </c>
      <c r="B14" s="513">
        <v>0</v>
      </c>
      <c r="C14" s="513">
        <v>0</v>
      </c>
      <c r="D14" s="513">
        <v>0</v>
      </c>
      <c r="E14" s="513">
        <v>0</v>
      </c>
      <c r="F14" s="513">
        <v>0</v>
      </c>
      <c r="G14" s="513">
        <v>0</v>
      </c>
      <c r="H14" s="513">
        <v>0</v>
      </c>
      <c r="I14" s="513">
        <v>11</v>
      </c>
      <c r="J14" s="513">
        <v>1</v>
      </c>
      <c r="K14" s="513">
        <v>3</v>
      </c>
      <c r="L14" s="513">
        <v>0</v>
      </c>
      <c r="M14" s="513">
        <v>0</v>
      </c>
      <c r="N14" s="513">
        <v>0</v>
      </c>
      <c r="O14" s="513">
        <v>0</v>
      </c>
      <c r="P14" s="513">
        <v>0</v>
      </c>
      <c r="Q14" s="513">
        <v>1</v>
      </c>
      <c r="R14" s="513">
        <v>0</v>
      </c>
      <c r="S14" s="513">
        <v>0</v>
      </c>
      <c r="T14" s="513">
        <v>0</v>
      </c>
      <c r="U14" s="513">
        <v>3</v>
      </c>
      <c r="V14" s="513">
        <v>0</v>
      </c>
      <c r="W14" s="513">
        <v>0</v>
      </c>
      <c r="X14" s="513">
        <v>0</v>
      </c>
      <c r="Y14" s="513">
        <v>0</v>
      </c>
      <c r="Z14" s="513">
        <v>5</v>
      </c>
      <c r="AA14" s="513">
        <v>0</v>
      </c>
      <c r="AB14" s="513">
        <v>0</v>
      </c>
      <c r="AC14" s="513">
        <v>0</v>
      </c>
      <c r="AD14" s="513">
        <v>0</v>
      </c>
      <c r="AE14" s="513">
        <v>0</v>
      </c>
      <c r="AF14" s="513">
        <v>7</v>
      </c>
      <c r="AG14" s="513">
        <v>2</v>
      </c>
      <c r="AH14" s="513">
        <v>0</v>
      </c>
      <c r="AI14" s="513">
        <v>0</v>
      </c>
      <c r="AJ14" s="513">
        <v>0</v>
      </c>
      <c r="AK14" s="513">
        <v>0</v>
      </c>
      <c r="AL14" s="513">
        <v>0</v>
      </c>
      <c r="AM14" s="513">
        <v>0</v>
      </c>
      <c r="AN14" s="513">
        <v>1</v>
      </c>
      <c r="AO14" s="513">
        <v>0</v>
      </c>
      <c r="AP14" s="513">
        <v>24</v>
      </c>
      <c r="AQ14" s="513">
        <v>0</v>
      </c>
      <c r="AR14" s="513">
        <v>0</v>
      </c>
      <c r="AS14" s="513">
        <v>0</v>
      </c>
      <c r="AT14" s="513">
        <v>0</v>
      </c>
      <c r="AU14" s="513">
        <v>0</v>
      </c>
      <c r="AV14" s="513">
        <v>0</v>
      </c>
      <c r="AW14" s="513">
        <v>0</v>
      </c>
      <c r="AX14" s="513">
        <v>0</v>
      </c>
      <c r="AY14" s="513">
        <v>0</v>
      </c>
      <c r="AZ14" s="513">
        <v>0</v>
      </c>
      <c r="BA14" s="513">
        <v>0</v>
      </c>
      <c r="BB14" s="513">
        <v>0</v>
      </c>
      <c r="BC14" s="513">
        <v>0</v>
      </c>
      <c r="BD14" s="513">
        <v>0</v>
      </c>
      <c r="BE14" s="513">
        <v>0</v>
      </c>
      <c r="BF14" s="513">
        <v>0</v>
      </c>
      <c r="BG14" s="513">
        <v>0</v>
      </c>
      <c r="BH14" s="513">
        <v>0</v>
      </c>
      <c r="BI14" s="513">
        <v>0</v>
      </c>
      <c r="BJ14" s="513">
        <v>0</v>
      </c>
      <c r="BK14" s="513">
        <v>0</v>
      </c>
      <c r="BL14" s="513">
        <v>0</v>
      </c>
      <c r="BM14" s="513">
        <v>0</v>
      </c>
      <c r="BN14" s="513">
        <v>0</v>
      </c>
      <c r="BO14" s="513">
        <v>0</v>
      </c>
      <c r="BP14" s="513">
        <v>0</v>
      </c>
      <c r="BQ14" s="513"/>
      <c r="BR14" s="513"/>
      <c r="BS14" s="513"/>
      <c r="BT14" s="513"/>
      <c r="BU14" s="513"/>
      <c r="BV14" s="513"/>
      <c r="BW14" s="513"/>
      <c r="BX14" s="513"/>
      <c r="BY14" s="513"/>
      <c r="BZ14" s="513"/>
      <c r="CA14" s="513"/>
      <c r="CB14" s="513"/>
      <c r="CC14" s="513"/>
      <c r="CD14" s="513"/>
      <c r="CE14" s="513"/>
      <c r="CF14" s="513"/>
      <c r="CG14" s="513"/>
      <c r="CH14" s="513"/>
      <c r="CI14" s="513"/>
      <c r="CJ14" s="513"/>
      <c r="CK14" s="513"/>
      <c r="CL14" s="513"/>
      <c r="CM14" s="513"/>
      <c r="CN14" s="513">
        <v>3</v>
      </c>
      <c r="CO14" s="513"/>
      <c r="CP14" s="513"/>
      <c r="CQ14" s="513"/>
      <c r="CR14" s="513"/>
      <c r="CS14" s="513"/>
      <c r="CT14" s="513"/>
      <c r="CU14" s="513"/>
      <c r="CV14" s="513"/>
      <c r="CW14" s="513"/>
      <c r="CX14" s="513"/>
      <c r="CY14" s="513"/>
      <c r="CZ14" s="513"/>
      <c r="DA14" s="513"/>
      <c r="DB14" s="513"/>
      <c r="DC14" s="514">
        <v>61</v>
      </c>
    </row>
    <row r="15" spans="1:108" s="408" customFormat="1" x14ac:dyDescent="0.25">
      <c r="A15" s="512" t="s">
        <v>676</v>
      </c>
      <c r="B15" s="513">
        <v>30</v>
      </c>
      <c r="C15" s="513">
        <v>20</v>
      </c>
      <c r="D15" s="513">
        <v>15</v>
      </c>
      <c r="E15" s="513">
        <v>30</v>
      </c>
      <c r="F15" s="513">
        <v>0</v>
      </c>
      <c r="G15" s="513">
        <v>0</v>
      </c>
      <c r="H15" s="513">
        <v>30</v>
      </c>
      <c r="I15" s="513">
        <v>25</v>
      </c>
      <c r="J15" s="513">
        <v>1</v>
      </c>
      <c r="K15" s="513">
        <v>3</v>
      </c>
      <c r="L15" s="513">
        <v>30</v>
      </c>
      <c r="M15" s="513">
        <v>5</v>
      </c>
      <c r="N15" s="513">
        <v>0</v>
      </c>
      <c r="O15" s="513">
        <v>0</v>
      </c>
      <c r="P15" s="513">
        <v>2</v>
      </c>
      <c r="Q15" s="513">
        <v>80</v>
      </c>
      <c r="R15" s="513">
        <v>0</v>
      </c>
      <c r="S15" s="513">
        <v>0</v>
      </c>
      <c r="T15" s="513">
        <v>0</v>
      </c>
      <c r="U15" s="513">
        <v>0</v>
      </c>
      <c r="V15" s="513">
        <v>0</v>
      </c>
      <c r="W15" s="513">
        <v>0</v>
      </c>
      <c r="X15" s="513">
        <v>40</v>
      </c>
      <c r="Y15" s="513">
        <v>0</v>
      </c>
      <c r="Z15" s="513">
        <v>9</v>
      </c>
      <c r="AA15" s="513">
        <v>40</v>
      </c>
      <c r="AB15" s="513">
        <v>1</v>
      </c>
      <c r="AC15" s="513">
        <v>0</v>
      </c>
      <c r="AD15" s="513">
        <v>0</v>
      </c>
      <c r="AE15" s="513">
        <v>0</v>
      </c>
      <c r="AF15" s="513">
        <v>7</v>
      </c>
      <c r="AG15" s="513">
        <v>30</v>
      </c>
      <c r="AH15" s="513">
        <v>21</v>
      </c>
      <c r="AI15" s="513">
        <v>0</v>
      </c>
      <c r="AJ15" s="513">
        <v>27</v>
      </c>
      <c r="AK15" s="513">
        <v>0</v>
      </c>
      <c r="AL15" s="513">
        <v>0</v>
      </c>
      <c r="AM15" s="513">
        <v>0</v>
      </c>
      <c r="AN15" s="513">
        <v>60</v>
      </c>
      <c r="AO15" s="513">
        <v>0</v>
      </c>
      <c r="AP15" s="513">
        <v>16</v>
      </c>
      <c r="AQ15" s="513">
        <v>21</v>
      </c>
      <c r="AR15" s="513">
        <v>0</v>
      </c>
      <c r="AS15" s="513">
        <v>0</v>
      </c>
      <c r="AT15" s="513">
        <v>0</v>
      </c>
      <c r="AU15" s="513">
        <v>20</v>
      </c>
      <c r="AV15" s="513">
        <v>0</v>
      </c>
      <c r="AW15" s="513">
        <v>0</v>
      </c>
      <c r="AX15" s="513">
        <v>5</v>
      </c>
      <c r="AY15" s="513">
        <v>20</v>
      </c>
      <c r="AZ15" s="513"/>
      <c r="BA15" s="513">
        <v>0</v>
      </c>
      <c r="BB15" s="513">
        <v>0</v>
      </c>
      <c r="BC15" s="513">
        <v>0</v>
      </c>
      <c r="BD15" s="513">
        <v>0</v>
      </c>
      <c r="BE15" s="513">
        <v>0</v>
      </c>
      <c r="BF15" s="513">
        <v>0</v>
      </c>
      <c r="BG15" s="513">
        <v>0</v>
      </c>
      <c r="BH15" s="513">
        <v>0</v>
      </c>
      <c r="BI15" s="513">
        <v>0</v>
      </c>
      <c r="BJ15" s="513">
        <v>0</v>
      </c>
      <c r="BK15" s="513">
        <v>0</v>
      </c>
      <c r="BL15" s="513">
        <v>0</v>
      </c>
      <c r="BM15" s="513">
        <v>0</v>
      </c>
      <c r="BN15" s="513">
        <v>0</v>
      </c>
      <c r="BO15" s="513">
        <v>0</v>
      </c>
      <c r="BP15" s="513">
        <v>0</v>
      </c>
      <c r="BQ15" s="513"/>
      <c r="BR15" s="513"/>
      <c r="BS15" s="513"/>
      <c r="BT15" s="513"/>
      <c r="BU15" s="513"/>
      <c r="BV15" s="513"/>
      <c r="BW15" s="513"/>
      <c r="BX15" s="513"/>
      <c r="BY15" s="513"/>
      <c r="BZ15" s="513"/>
      <c r="CA15" s="513"/>
      <c r="CB15" s="513"/>
      <c r="CC15" s="513"/>
      <c r="CD15" s="513">
        <v>2</v>
      </c>
      <c r="CE15" s="513">
        <v>2</v>
      </c>
      <c r="CF15" s="513"/>
      <c r="CG15" s="513"/>
      <c r="CH15" s="513"/>
      <c r="CI15" s="513"/>
      <c r="CJ15" s="513"/>
      <c r="CK15" s="513"/>
      <c r="CL15" s="513"/>
      <c r="CM15" s="513"/>
      <c r="CN15" s="513"/>
      <c r="CO15" s="513">
        <v>10</v>
      </c>
      <c r="CP15" s="513"/>
      <c r="CQ15" s="513"/>
      <c r="CR15" s="513"/>
      <c r="CS15" s="513"/>
      <c r="CT15" s="513">
        <v>35</v>
      </c>
      <c r="CU15" s="513"/>
      <c r="CV15" s="513">
        <v>4</v>
      </c>
      <c r="CW15" s="513"/>
      <c r="CX15" s="513"/>
      <c r="CY15" s="513">
        <v>20</v>
      </c>
      <c r="CZ15" s="513"/>
      <c r="DA15" s="513"/>
      <c r="DB15" s="513"/>
      <c r="DC15" s="514">
        <v>661</v>
      </c>
    </row>
    <row r="16" spans="1:108" s="408" customFormat="1" x14ac:dyDescent="0.25">
      <c r="A16" s="512" t="s">
        <v>677</v>
      </c>
      <c r="B16" s="513">
        <v>0</v>
      </c>
      <c r="C16" s="513">
        <v>20</v>
      </c>
      <c r="D16" s="513">
        <v>60</v>
      </c>
      <c r="E16" s="513">
        <v>0</v>
      </c>
      <c r="F16" s="513">
        <v>0</v>
      </c>
      <c r="G16" s="513">
        <v>0</v>
      </c>
      <c r="H16" s="513">
        <v>0</v>
      </c>
      <c r="I16" s="513">
        <v>25</v>
      </c>
      <c r="J16" s="513">
        <v>2</v>
      </c>
      <c r="K16" s="513">
        <v>33</v>
      </c>
      <c r="L16" s="513">
        <v>30</v>
      </c>
      <c r="M16" s="513">
        <v>5</v>
      </c>
      <c r="N16" s="513">
        <v>32</v>
      </c>
      <c r="O16" s="513">
        <v>30</v>
      </c>
      <c r="P16" s="513">
        <v>44</v>
      </c>
      <c r="Q16" s="513">
        <v>2</v>
      </c>
      <c r="R16" s="513">
        <v>0</v>
      </c>
      <c r="S16" s="513">
        <v>30</v>
      </c>
      <c r="T16" s="513">
        <v>13</v>
      </c>
      <c r="U16" s="513">
        <v>3</v>
      </c>
      <c r="V16" s="513">
        <v>15</v>
      </c>
      <c r="W16" s="513">
        <v>0</v>
      </c>
      <c r="X16" s="513">
        <v>2</v>
      </c>
      <c r="Y16" s="513">
        <v>1</v>
      </c>
      <c r="Z16" s="513">
        <v>0</v>
      </c>
      <c r="AA16" s="513">
        <v>0</v>
      </c>
      <c r="AB16" s="513">
        <v>1</v>
      </c>
      <c r="AC16" s="513">
        <v>4</v>
      </c>
      <c r="AD16" s="513">
        <v>0</v>
      </c>
      <c r="AE16" s="513">
        <v>30</v>
      </c>
      <c r="AF16" s="513">
        <v>43</v>
      </c>
      <c r="AG16" s="513">
        <v>30</v>
      </c>
      <c r="AH16" s="513">
        <v>2</v>
      </c>
      <c r="AI16" s="513">
        <v>33</v>
      </c>
      <c r="AJ16" s="513">
        <v>2</v>
      </c>
      <c r="AK16" s="513">
        <v>21</v>
      </c>
      <c r="AL16" s="513">
        <v>2</v>
      </c>
      <c r="AM16" s="513">
        <v>0</v>
      </c>
      <c r="AN16" s="513">
        <v>0</v>
      </c>
      <c r="AO16" s="513">
        <v>0</v>
      </c>
      <c r="AP16" s="513">
        <v>13</v>
      </c>
      <c r="AQ16" s="513">
        <v>20</v>
      </c>
      <c r="AR16" s="513">
        <v>0</v>
      </c>
      <c r="AS16" s="513">
        <v>0</v>
      </c>
      <c r="AT16" s="513">
        <v>0</v>
      </c>
      <c r="AU16" s="513">
        <v>20</v>
      </c>
      <c r="AV16" s="513">
        <v>30</v>
      </c>
      <c r="AW16" s="513">
        <v>0</v>
      </c>
      <c r="AX16" s="513">
        <v>5</v>
      </c>
      <c r="AY16" s="513">
        <v>20</v>
      </c>
      <c r="AZ16" s="513">
        <v>0</v>
      </c>
      <c r="BA16" s="513">
        <v>0</v>
      </c>
      <c r="BB16" s="513">
        <v>0</v>
      </c>
      <c r="BC16" s="513">
        <v>0</v>
      </c>
      <c r="BD16" s="513">
        <v>0</v>
      </c>
      <c r="BE16" s="513">
        <v>0</v>
      </c>
      <c r="BF16" s="513">
        <v>0</v>
      </c>
      <c r="BG16" s="513">
        <v>0</v>
      </c>
      <c r="BH16" s="513">
        <v>0</v>
      </c>
      <c r="BI16" s="513">
        <v>0</v>
      </c>
      <c r="BJ16" s="513">
        <v>0</v>
      </c>
      <c r="BK16" s="513">
        <v>0</v>
      </c>
      <c r="BL16" s="513">
        <v>1</v>
      </c>
      <c r="BM16" s="513">
        <v>1</v>
      </c>
      <c r="BN16" s="513">
        <v>1</v>
      </c>
      <c r="BO16" s="513">
        <v>1</v>
      </c>
      <c r="BP16" s="513">
        <v>0</v>
      </c>
      <c r="BQ16" s="513"/>
      <c r="BR16" s="513"/>
      <c r="BS16" s="513"/>
      <c r="BT16" s="513"/>
      <c r="BU16" s="513"/>
      <c r="BV16" s="513"/>
      <c r="BW16" s="513"/>
      <c r="BX16" s="513"/>
      <c r="BY16" s="513"/>
      <c r="BZ16" s="513"/>
      <c r="CA16" s="513"/>
      <c r="CB16" s="513"/>
      <c r="CC16" s="513"/>
      <c r="CD16" s="513">
        <v>2</v>
      </c>
      <c r="CE16" s="513">
        <v>2</v>
      </c>
      <c r="CF16" s="513"/>
      <c r="CG16" s="513"/>
      <c r="CH16" s="513"/>
      <c r="CI16" s="513"/>
      <c r="CJ16" s="513"/>
      <c r="CK16" s="513"/>
      <c r="CL16" s="513"/>
      <c r="CM16" s="513"/>
      <c r="CN16" s="513"/>
      <c r="CO16" s="513">
        <v>10</v>
      </c>
      <c r="CP16" s="513">
        <v>30</v>
      </c>
      <c r="CQ16" s="513">
        <v>30</v>
      </c>
      <c r="CR16" s="513">
        <v>30</v>
      </c>
      <c r="CS16" s="513">
        <v>30</v>
      </c>
      <c r="CT16" s="513"/>
      <c r="CU16" s="513"/>
      <c r="CV16" s="513">
        <v>6</v>
      </c>
      <c r="CW16" s="513"/>
      <c r="CX16" s="513">
        <v>20</v>
      </c>
      <c r="CY16" s="513"/>
      <c r="CZ16" s="513"/>
      <c r="DA16" s="513"/>
      <c r="DB16" s="513"/>
      <c r="DC16" s="514">
        <v>787</v>
      </c>
    </row>
    <row r="17" spans="1:107" x14ac:dyDescent="0.25">
      <c r="A17" s="217" t="s">
        <v>678</v>
      </c>
      <c r="B17" s="78">
        <v>1</v>
      </c>
      <c r="C17" s="78">
        <v>23</v>
      </c>
      <c r="D17" s="78">
        <v>22</v>
      </c>
      <c r="E17" s="78">
        <v>14</v>
      </c>
      <c r="F17" s="78">
        <v>0</v>
      </c>
      <c r="G17" s="78">
        <v>13</v>
      </c>
      <c r="H17" s="78">
        <v>5</v>
      </c>
      <c r="I17" s="78">
        <v>6</v>
      </c>
      <c r="J17" s="78">
        <v>5</v>
      </c>
      <c r="K17" s="78">
        <v>33</v>
      </c>
      <c r="L17" s="78">
        <v>32</v>
      </c>
      <c r="M17" s="78">
        <v>14</v>
      </c>
      <c r="N17" s="78">
        <v>14</v>
      </c>
      <c r="O17" s="78">
        <v>45</v>
      </c>
      <c r="P17" s="78">
        <v>10</v>
      </c>
      <c r="Q17" s="78">
        <v>6</v>
      </c>
      <c r="R17" s="78">
        <v>6</v>
      </c>
      <c r="S17" s="78">
        <v>1</v>
      </c>
      <c r="T17" s="78">
        <v>13</v>
      </c>
      <c r="U17" s="78">
        <v>17</v>
      </c>
      <c r="V17" s="78">
        <v>4</v>
      </c>
      <c r="W17" s="78">
        <v>0</v>
      </c>
      <c r="X17" s="78">
        <v>4</v>
      </c>
      <c r="Y17" s="78">
        <v>2</v>
      </c>
      <c r="Z17" s="78">
        <v>20</v>
      </c>
      <c r="AA17" s="78">
        <v>5</v>
      </c>
      <c r="AB17" s="78">
        <v>0</v>
      </c>
      <c r="AC17" s="78">
        <v>4</v>
      </c>
      <c r="AD17" s="78">
        <v>17</v>
      </c>
      <c r="AE17" s="78">
        <v>4</v>
      </c>
      <c r="AF17" s="78">
        <v>139</v>
      </c>
      <c r="AG17" s="78">
        <v>33</v>
      </c>
      <c r="AH17" s="78">
        <v>5</v>
      </c>
      <c r="AI17" s="78">
        <v>32</v>
      </c>
      <c r="AJ17" s="513">
        <v>44</v>
      </c>
      <c r="AK17" s="78">
        <v>1</v>
      </c>
      <c r="AL17" s="78">
        <v>1</v>
      </c>
      <c r="AM17" s="78">
        <v>13</v>
      </c>
      <c r="AN17" s="78">
        <v>11</v>
      </c>
      <c r="AO17" s="78">
        <v>0</v>
      </c>
      <c r="AP17" s="78">
        <v>93</v>
      </c>
      <c r="AQ17" s="78">
        <v>37</v>
      </c>
      <c r="AR17" s="78">
        <v>3</v>
      </c>
      <c r="AS17" s="78">
        <v>4</v>
      </c>
      <c r="AT17" s="78">
        <v>16</v>
      </c>
      <c r="AU17" s="78">
        <v>22</v>
      </c>
      <c r="AV17" s="78">
        <v>11</v>
      </c>
      <c r="AW17" s="78">
        <v>5</v>
      </c>
      <c r="AX17" s="78">
        <v>13</v>
      </c>
      <c r="AY17" s="78">
        <v>38</v>
      </c>
      <c r="AZ17" s="78">
        <v>4</v>
      </c>
      <c r="BA17" s="78">
        <v>0</v>
      </c>
      <c r="BB17" s="78">
        <v>3</v>
      </c>
      <c r="BC17" s="78">
        <v>0</v>
      </c>
      <c r="BD17" s="78">
        <v>0</v>
      </c>
      <c r="BE17" s="78">
        <v>0</v>
      </c>
      <c r="BF17" s="78">
        <v>0</v>
      </c>
      <c r="BG17" s="78">
        <v>1</v>
      </c>
      <c r="BH17" s="78">
        <v>6</v>
      </c>
      <c r="BI17" s="78">
        <v>5</v>
      </c>
      <c r="BJ17" s="78">
        <v>1</v>
      </c>
      <c r="BK17" s="78">
        <v>1</v>
      </c>
      <c r="BL17" s="78">
        <v>6</v>
      </c>
      <c r="BM17" s="78">
        <v>0</v>
      </c>
      <c r="BN17" s="78">
        <v>33</v>
      </c>
      <c r="BO17" s="78">
        <v>0</v>
      </c>
      <c r="BP17" s="78">
        <v>0</v>
      </c>
      <c r="BQ17" s="78">
        <v>7</v>
      </c>
      <c r="BR17" s="78"/>
      <c r="BS17" s="78"/>
      <c r="BT17" s="78">
        <v>2</v>
      </c>
      <c r="BU17" s="78">
        <v>5</v>
      </c>
      <c r="BV17" s="78"/>
      <c r="BW17" s="78"/>
      <c r="BX17" s="78"/>
      <c r="BY17" s="78">
        <v>18</v>
      </c>
      <c r="BZ17" s="78">
        <v>2</v>
      </c>
      <c r="CA17" s="78">
        <v>2</v>
      </c>
      <c r="CB17" s="78"/>
      <c r="CC17" s="78">
        <v>20</v>
      </c>
      <c r="CD17" s="78">
        <v>2</v>
      </c>
      <c r="CE17" s="78">
        <v>2</v>
      </c>
      <c r="CF17" s="78">
        <v>31</v>
      </c>
      <c r="CG17" s="78"/>
      <c r="CH17" s="78"/>
      <c r="CI17" s="78"/>
      <c r="CJ17" s="78"/>
      <c r="CK17" s="78"/>
      <c r="CL17" s="78"/>
      <c r="CM17" s="78"/>
      <c r="CN17" s="78"/>
      <c r="CO17" s="78">
        <v>5</v>
      </c>
      <c r="CP17" s="78"/>
      <c r="CQ17" s="78"/>
      <c r="CR17" s="78"/>
      <c r="CS17" s="78"/>
      <c r="CT17" s="78">
        <v>4</v>
      </c>
      <c r="CU17" s="78"/>
      <c r="CV17" s="78">
        <v>6</v>
      </c>
      <c r="CW17" s="78">
        <v>15</v>
      </c>
      <c r="CX17" s="78"/>
      <c r="CY17" s="78"/>
      <c r="CZ17" s="78"/>
      <c r="DA17" s="78"/>
      <c r="DB17" s="78"/>
      <c r="DC17" s="225">
        <v>1042</v>
      </c>
    </row>
    <row r="18" spans="1:107" x14ac:dyDescent="0.25">
      <c r="A18" s="217" t="s">
        <v>679</v>
      </c>
      <c r="B18" s="78">
        <v>0</v>
      </c>
      <c r="C18" s="78">
        <v>1</v>
      </c>
      <c r="D18" s="78">
        <v>6</v>
      </c>
      <c r="E18" s="78">
        <v>10</v>
      </c>
      <c r="F18" s="78">
        <v>19</v>
      </c>
      <c r="G18" s="78">
        <v>1</v>
      </c>
      <c r="H18" s="78">
        <v>2</v>
      </c>
      <c r="I18" s="78">
        <v>19</v>
      </c>
      <c r="J18" s="78">
        <v>3</v>
      </c>
      <c r="K18" s="78">
        <v>4</v>
      </c>
      <c r="L18" s="78">
        <v>0</v>
      </c>
      <c r="M18" s="78">
        <v>2</v>
      </c>
      <c r="N18" s="78">
        <v>10</v>
      </c>
      <c r="O18" s="78">
        <v>1</v>
      </c>
      <c r="P18" s="78">
        <v>22</v>
      </c>
      <c r="Q18" s="78">
        <v>2</v>
      </c>
      <c r="R18" s="78">
        <v>4</v>
      </c>
      <c r="S18" s="78">
        <v>8</v>
      </c>
      <c r="T18" s="78">
        <v>0</v>
      </c>
      <c r="U18" s="78">
        <v>25</v>
      </c>
      <c r="V18" s="78">
        <v>1</v>
      </c>
      <c r="W18" s="78">
        <v>3</v>
      </c>
      <c r="X18" s="78">
        <v>11</v>
      </c>
      <c r="Y18" s="78">
        <v>1</v>
      </c>
      <c r="Z18" s="78">
        <v>8</v>
      </c>
      <c r="AA18" s="78">
        <v>11</v>
      </c>
      <c r="AB18" s="78">
        <v>1</v>
      </c>
      <c r="AC18" s="78">
        <v>4</v>
      </c>
      <c r="AD18" s="78">
        <v>4</v>
      </c>
      <c r="AE18" s="78">
        <v>11</v>
      </c>
      <c r="AF18" s="78">
        <v>61</v>
      </c>
      <c r="AG18" s="78">
        <v>1</v>
      </c>
      <c r="AH18" s="78">
        <v>5</v>
      </c>
      <c r="AI18" s="78">
        <v>25</v>
      </c>
      <c r="AJ18" s="513">
        <v>57</v>
      </c>
      <c r="AK18" s="78">
        <v>10</v>
      </c>
      <c r="AL18" s="78">
        <v>14</v>
      </c>
      <c r="AM18" s="78">
        <v>10</v>
      </c>
      <c r="AN18" s="78">
        <v>5</v>
      </c>
      <c r="AO18" s="78">
        <v>0</v>
      </c>
      <c r="AP18" s="78">
        <v>137</v>
      </c>
      <c r="AQ18" s="78">
        <v>25</v>
      </c>
      <c r="AR18" s="78">
        <v>7</v>
      </c>
      <c r="AS18" s="78">
        <v>0</v>
      </c>
      <c r="AT18" s="78">
        <v>3</v>
      </c>
      <c r="AU18" s="78">
        <v>1</v>
      </c>
      <c r="AV18" s="78">
        <v>11</v>
      </c>
      <c r="AW18" s="78">
        <v>10</v>
      </c>
      <c r="AX18" s="78">
        <v>2</v>
      </c>
      <c r="AY18" s="78">
        <v>36</v>
      </c>
      <c r="AZ18" s="78">
        <v>1</v>
      </c>
      <c r="BA18" s="78">
        <v>8</v>
      </c>
      <c r="BB18" s="78">
        <v>5</v>
      </c>
      <c r="BC18" s="78">
        <v>0</v>
      </c>
      <c r="BD18" s="78">
        <v>7</v>
      </c>
      <c r="BE18" s="78">
        <v>2</v>
      </c>
      <c r="BF18" s="78">
        <v>0</v>
      </c>
      <c r="BG18" s="78">
        <v>1</v>
      </c>
      <c r="BH18" s="78">
        <v>2</v>
      </c>
      <c r="BI18" s="78">
        <v>3</v>
      </c>
      <c r="BJ18" s="78">
        <v>0</v>
      </c>
      <c r="BK18" s="78">
        <v>0</v>
      </c>
      <c r="BL18" s="78">
        <v>2</v>
      </c>
      <c r="BM18" s="78">
        <v>1</v>
      </c>
      <c r="BN18" s="78">
        <v>32</v>
      </c>
      <c r="BO18" s="78">
        <v>1</v>
      </c>
      <c r="BP18" s="78">
        <v>1</v>
      </c>
      <c r="BQ18" s="78">
        <v>3</v>
      </c>
      <c r="BR18" s="78">
        <v>24</v>
      </c>
      <c r="BS18" s="78">
        <v>1</v>
      </c>
      <c r="BT18" s="78">
        <v>1</v>
      </c>
      <c r="BU18" s="78">
        <v>1</v>
      </c>
      <c r="BV18" s="78"/>
      <c r="BW18" s="78">
        <v>1</v>
      </c>
      <c r="BX18" s="78">
        <v>3</v>
      </c>
      <c r="BY18" s="78"/>
      <c r="BZ18" s="78"/>
      <c r="CA18" s="78"/>
      <c r="CB18" s="78">
        <v>1</v>
      </c>
      <c r="CC18" s="78">
        <v>50</v>
      </c>
      <c r="CD18" s="78">
        <v>2</v>
      </c>
      <c r="CE18" s="78">
        <v>2</v>
      </c>
      <c r="CF18" s="78">
        <v>35</v>
      </c>
      <c r="CG18" s="78"/>
      <c r="CH18" s="78"/>
      <c r="CI18" s="78"/>
      <c r="CJ18" s="78">
        <v>3</v>
      </c>
      <c r="CK18" s="78">
        <v>25</v>
      </c>
      <c r="CL18" s="78">
        <v>30</v>
      </c>
      <c r="CM18" s="78">
        <v>9</v>
      </c>
      <c r="CN18" s="78"/>
      <c r="CO18" s="78"/>
      <c r="CP18" s="78"/>
      <c r="CQ18" s="78"/>
      <c r="CR18" s="78"/>
      <c r="CS18" s="78"/>
      <c r="CT18" s="78"/>
      <c r="CU18" s="78"/>
      <c r="CV18" s="78">
        <v>12</v>
      </c>
      <c r="CW18" s="78"/>
      <c r="CX18" s="78"/>
      <c r="CY18" s="78"/>
      <c r="CZ18" s="78"/>
      <c r="DA18" s="78"/>
      <c r="DB18" s="78"/>
      <c r="DC18" s="225">
        <v>883</v>
      </c>
    </row>
    <row r="19" spans="1:107" x14ac:dyDescent="0.25">
      <c r="A19" s="217" t="s">
        <v>680</v>
      </c>
      <c r="B19" s="78">
        <v>31</v>
      </c>
      <c r="C19" s="78">
        <v>26</v>
      </c>
      <c r="D19" s="78">
        <v>84</v>
      </c>
      <c r="E19" s="78">
        <v>112</v>
      </c>
      <c r="F19" s="78">
        <v>0</v>
      </c>
      <c r="G19" s="78">
        <v>12</v>
      </c>
      <c r="H19" s="78">
        <v>37</v>
      </c>
      <c r="I19" s="78">
        <v>0</v>
      </c>
      <c r="J19" s="78">
        <v>33</v>
      </c>
      <c r="K19" s="78">
        <v>33</v>
      </c>
      <c r="L19" s="78">
        <v>62</v>
      </c>
      <c r="M19" s="78">
        <v>20</v>
      </c>
      <c r="N19" s="78">
        <v>68</v>
      </c>
      <c r="O19" s="78">
        <v>61</v>
      </c>
      <c r="P19" s="78">
        <v>3</v>
      </c>
      <c r="Q19" s="78">
        <v>4</v>
      </c>
      <c r="R19" s="78">
        <v>22</v>
      </c>
      <c r="S19" s="78">
        <v>36</v>
      </c>
      <c r="T19" s="78">
        <v>0</v>
      </c>
      <c r="U19" s="78">
        <v>15</v>
      </c>
      <c r="V19" s="78">
        <v>3</v>
      </c>
      <c r="W19" s="78">
        <v>0</v>
      </c>
      <c r="X19" s="78">
        <v>2</v>
      </c>
      <c r="Y19" s="78">
        <v>4</v>
      </c>
      <c r="Z19" s="78">
        <v>9</v>
      </c>
      <c r="AA19" s="78">
        <v>14</v>
      </c>
      <c r="AB19" s="78">
        <v>0</v>
      </c>
      <c r="AC19" s="78">
        <v>6</v>
      </c>
      <c r="AD19" s="78">
        <v>17</v>
      </c>
      <c r="AE19" s="78">
        <v>32</v>
      </c>
      <c r="AF19" s="78">
        <v>143</v>
      </c>
      <c r="AG19" s="78">
        <v>32</v>
      </c>
      <c r="AH19" s="78">
        <v>2</v>
      </c>
      <c r="AI19" s="78">
        <v>32</v>
      </c>
      <c r="AJ19" s="513">
        <v>143</v>
      </c>
      <c r="AK19" s="78">
        <v>6</v>
      </c>
      <c r="AL19" s="78">
        <v>1</v>
      </c>
      <c r="AM19" s="78">
        <v>8</v>
      </c>
      <c r="AN19" s="78">
        <v>93</v>
      </c>
      <c r="AO19" s="78">
        <v>0</v>
      </c>
      <c r="AP19" s="78">
        <v>68</v>
      </c>
      <c r="AQ19" s="78">
        <v>22</v>
      </c>
      <c r="AR19" s="78">
        <v>10</v>
      </c>
      <c r="AS19" s="78">
        <v>13</v>
      </c>
      <c r="AT19" s="78">
        <v>19</v>
      </c>
      <c r="AU19" s="78">
        <v>62</v>
      </c>
      <c r="AV19" s="78">
        <v>45</v>
      </c>
      <c r="AW19" s="78">
        <v>11</v>
      </c>
      <c r="AX19" s="78">
        <v>16</v>
      </c>
      <c r="AY19" s="78">
        <v>48</v>
      </c>
      <c r="AZ19" s="78">
        <v>8</v>
      </c>
      <c r="BA19" s="78">
        <v>0</v>
      </c>
      <c r="BB19" s="78">
        <v>0</v>
      </c>
      <c r="BC19" s="78">
        <v>0</v>
      </c>
      <c r="BD19" s="78">
        <v>0</v>
      </c>
      <c r="BE19" s="78">
        <v>0</v>
      </c>
      <c r="BF19" s="78">
        <v>0</v>
      </c>
      <c r="BG19" s="78">
        <v>0</v>
      </c>
      <c r="BH19" s="78">
        <v>0</v>
      </c>
      <c r="BI19" s="78">
        <v>22</v>
      </c>
      <c r="BJ19" s="78">
        <v>2</v>
      </c>
      <c r="BK19" s="78">
        <v>3</v>
      </c>
      <c r="BL19" s="78">
        <v>9</v>
      </c>
      <c r="BM19" s="78">
        <v>0</v>
      </c>
      <c r="BN19" s="78">
        <v>9</v>
      </c>
      <c r="BO19" s="78">
        <v>0</v>
      </c>
      <c r="BP19" s="78">
        <v>5</v>
      </c>
      <c r="BQ19" s="78"/>
      <c r="BR19" s="78"/>
      <c r="BS19" s="78"/>
      <c r="BT19" s="78">
        <v>6</v>
      </c>
      <c r="BU19" s="78">
        <v>6</v>
      </c>
      <c r="BV19" s="78"/>
      <c r="BW19" s="78"/>
      <c r="BX19" s="78"/>
      <c r="BY19" s="78"/>
      <c r="BZ19" s="78">
        <v>5</v>
      </c>
      <c r="CA19" s="78"/>
      <c r="CB19" s="78"/>
      <c r="CC19" s="78">
        <v>20</v>
      </c>
      <c r="CD19" s="78">
        <v>2</v>
      </c>
      <c r="CE19" s="78">
        <v>2</v>
      </c>
      <c r="CF19" s="78">
        <v>31</v>
      </c>
      <c r="CG19" s="78"/>
      <c r="CH19" s="78"/>
      <c r="CI19" s="78"/>
      <c r="CJ19" s="78"/>
      <c r="CK19" s="78"/>
      <c r="CL19" s="78"/>
      <c r="CM19" s="78"/>
      <c r="CN19" s="78"/>
      <c r="CO19" s="78">
        <v>5</v>
      </c>
      <c r="CP19" s="78"/>
      <c r="CQ19" s="78"/>
      <c r="CR19" s="78"/>
      <c r="CS19" s="78"/>
      <c r="CT19" s="78">
        <v>31</v>
      </c>
      <c r="CU19" s="78"/>
      <c r="CV19" s="78">
        <v>4</v>
      </c>
      <c r="CW19" s="78">
        <v>15</v>
      </c>
      <c r="CX19" s="78"/>
      <c r="CY19" s="78"/>
      <c r="CZ19" s="78"/>
      <c r="DA19" s="78"/>
      <c r="DB19" s="78"/>
      <c r="DC19" s="225">
        <v>1705</v>
      </c>
    </row>
    <row r="20" spans="1:107" x14ac:dyDescent="0.25">
      <c r="A20" s="217" t="s">
        <v>681</v>
      </c>
      <c r="B20" s="78">
        <v>2</v>
      </c>
      <c r="C20" s="78">
        <v>27</v>
      </c>
      <c r="D20" s="78">
        <v>20</v>
      </c>
      <c r="E20" s="78">
        <v>5</v>
      </c>
      <c r="F20" s="78">
        <v>1</v>
      </c>
      <c r="G20" s="78">
        <v>10</v>
      </c>
      <c r="H20" s="78">
        <v>5</v>
      </c>
      <c r="I20" s="78">
        <v>25</v>
      </c>
      <c r="J20" s="78">
        <v>17</v>
      </c>
      <c r="K20" s="78">
        <v>4</v>
      </c>
      <c r="L20" s="78">
        <v>30</v>
      </c>
      <c r="M20" s="78">
        <v>6</v>
      </c>
      <c r="N20" s="78">
        <v>10</v>
      </c>
      <c r="O20" s="78">
        <v>30</v>
      </c>
      <c r="P20" s="78">
        <v>7</v>
      </c>
      <c r="Q20" s="78">
        <v>6</v>
      </c>
      <c r="R20" s="78">
        <v>2</v>
      </c>
      <c r="S20" s="78">
        <v>2</v>
      </c>
      <c r="T20" s="78">
        <v>0</v>
      </c>
      <c r="U20" s="78">
        <v>13</v>
      </c>
      <c r="V20" s="78">
        <v>3</v>
      </c>
      <c r="W20" s="78">
        <v>0</v>
      </c>
      <c r="X20" s="78">
        <v>0</v>
      </c>
      <c r="Y20" s="78">
        <v>0</v>
      </c>
      <c r="Z20" s="78">
        <v>5</v>
      </c>
      <c r="AA20" s="78">
        <v>11</v>
      </c>
      <c r="AB20" s="78">
        <v>6</v>
      </c>
      <c r="AC20" s="78">
        <v>3</v>
      </c>
      <c r="AD20" s="78">
        <v>4</v>
      </c>
      <c r="AE20" s="78">
        <v>7</v>
      </c>
      <c r="AF20" s="78">
        <v>25</v>
      </c>
      <c r="AG20" s="78">
        <v>30</v>
      </c>
      <c r="AH20" s="78">
        <v>10</v>
      </c>
      <c r="AI20" s="78">
        <v>2</v>
      </c>
      <c r="AJ20" s="513">
        <v>28</v>
      </c>
      <c r="AK20" s="78">
        <v>6</v>
      </c>
      <c r="AL20" s="78">
        <v>2</v>
      </c>
      <c r="AM20" s="78">
        <v>7</v>
      </c>
      <c r="AN20" s="78">
        <v>9</v>
      </c>
      <c r="AO20" s="78">
        <v>0</v>
      </c>
      <c r="AP20" s="78">
        <v>75</v>
      </c>
      <c r="AQ20" s="78">
        <v>21</v>
      </c>
      <c r="AR20" s="78">
        <v>0</v>
      </c>
      <c r="AS20" s="78">
        <v>1</v>
      </c>
      <c r="AT20" s="78">
        <v>1</v>
      </c>
      <c r="AU20" s="78">
        <v>20</v>
      </c>
      <c r="AV20" s="78">
        <v>5</v>
      </c>
      <c r="AW20" s="78">
        <v>6</v>
      </c>
      <c r="AX20" s="78">
        <v>7</v>
      </c>
      <c r="AY20" s="78">
        <v>23</v>
      </c>
      <c r="AZ20" s="78">
        <v>0</v>
      </c>
      <c r="BA20" s="78">
        <v>0</v>
      </c>
      <c r="BB20" s="78">
        <v>0</v>
      </c>
      <c r="BC20" s="78">
        <v>0</v>
      </c>
      <c r="BD20" s="78">
        <v>0</v>
      </c>
      <c r="BE20" s="78">
        <v>0</v>
      </c>
      <c r="BF20" s="78">
        <v>0</v>
      </c>
      <c r="BG20" s="78">
        <v>0</v>
      </c>
      <c r="BH20" s="78">
        <v>0</v>
      </c>
      <c r="BI20" s="78">
        <v>2</v>
      </c>
      <c r="BJ20" s="78">
        <v>0</v>
      </c>
      <c r="BK20" s="78">
        <v>0</v>
      </c>
      <c r="BL20" s="78">
        <v>3</v>
      </c>
      <c r="BM20" s="78">
        <v>0</v>
      </c>
      <c r="BN20" s="78">
        <v>13</v>
      </c>
      <c r="BO20" s="78">
        <v>0</v>
      </c>
      <c r="BP20" s="78">
        <v>0</v>
      </c>
      <c r="BQ20" s="78"/>
      <c r="BR20" s="78"/>
      <c r="BS20" s="78"/>
      <c r="BT20" s="78"/>
      <c r="BU20" s="78">
        <v>5</v>
      </c>
      <c r="BV20" s="78"/>
      <c r="BW20" s="78"/>
      <c r="BX20" s="78"/>
      <c r="BY20" s="78">
        <v>18</v>
      </c>
      <c r="BZ20" s="78"/>
      <c r="CA20" s="78"/>
      <c r="CB20" s="78"/>
      <c r="CC20" s="78"/>
      <c r="CD20" s="78"/>
      <c r="CE20" s="78"/>
      <c r="CF20" s="78"/>
      <c r="CG20" s="78"/>
      <c r="CH20" s="78"/>
      <c r="CI20" s="78">
        <v>5</v>
      </c>
      <c r="CJ20" s="78"/>
      <c r="CK20" s="78"/>
      <c r="CL20" s="78"/>
      <c r="CM20" s="78">
        <v>2</v>
      </c>
      <c r="CN20" s="78"/>
      <c r="CO20" s="78">
        <v>10</v>
      </c>
      <c r="CP20" s="78"/>
      <c r="CQ20" s="78"/>
      <c r="CR20" s="78"/>
      <c r="CS20" s="78"/>
      <c r="CT20" s="78">
        <v>3</v>
      </c>
      <c r="CU20" s="78"/>
      <c r="CV20" s="78">
        <v>4</v>
      </c>
      <c r="CW20" s="78"/>
      <c r="CX20" s="78"/>
      <c r="CY20" s="78">
        <v>5</v>
      </c>
      <c r="CZ20" s="78">
        <v>5</v>
      </c>
      <c r="DA20" s="78"/>
      <c r="DB20" s="78"/>
      <c r="DC20" s="224">
        <v>614</v>
      </c>
    </row>
    <row r="21" spans="1:107" x14ac:dyDescent="0.25">
      <c r="A21" s="217" t="s">
        <v>682</v>
      </c>
      <c r="B21" s="78">
        <v>33</v>
      </c>
      <c r="C21" s="78">
        <v>28</v>
      </c>
      <c r="D21" s="78">
        <v>35</v>
      </c>
      <c r="E21" s="78">
        <v>10</v>
      </c>
      <c r="F21" s="78">
        <v>2</v>
      </c>
      <c r="G21" s="78">
        <v>10</v>
      </c>
      <c r="H21" s="78">
        <v>38</v>
      </c>
      <c r="I21" s="78">
        <v>0</v>
      </c>
      <c r="J21" s="78">
        <v>18</v>
      </c>
      <c r="K21" s="78">
        <v>35</v>
      </c>
      <c r="L21" s="78">
        <v>30</v>
      </c>
      <c r="M21" s="78">
        <v>6</v>
      </c>
      <c r="N21" s="78">
        <v>52</v>
      </c>
      <c r="O21" s="78">
        <v>0</v>
      </c>
      <c r="P21" s="78">
        <v>6</v>
      </c>
      <c r="Q21" s="78">
        <v>9</v>
      </c>
      <c r="R21" s="78">
        <v>5</v>
      </c>
      <c r="S21" s="78">
        <v>35</v>
      </c>
      <c r="T21" s="78">
        <v>0</v>
      </c>
      <c r="U21" s="78">
        <v>12</v>
      </c>
      <c r="V21" s="78">
        <v>2</v>
      </c>
      <c r="W21" s="78">
        <v>0</v>
      </c>
      <c r="X21" s="78">
        <v>0</v>
      </c>
      <c r="Y21" s="78">
        <v>0</v>
      </c>
      <c r="Z21" s="78">
        <v>0</v>
      </c>
      <c r="AA21" s="78">
        <v>8</v>
      </c>
      <c r="AB21" s="78">
        <v>12</v>
      </c>
      <c r="AC21" s="78">
        <v>4</v>
      </c>
      <c r="AD21" s="78">
        <v>0</v>
      </c>
      <c r="AE21" s="78">
        <v>38</v>
      </c>
      <c r="AF21" s="78">
        <v>59</v>
      </c>
      <c r="AG21" s="78">
        <v>30</v>
      </c>
      <c r="AH21" s="78">
        <v>3</v>
      </c>
      <c r="AI21" s="78">
        <v>34</v>
      </c>
      <c r="AJ21" s="513">
        <v>10</v>
      </c>
      <c r="AK21" s="78">
        <v>8</v>
      </c>
      <c r="AL21" s="78">
        <v>0</v>
      </c>
      <c r="AM21" s="78">
        <v>14</v>
      </c>
      <c r="AN21" s="78">
        <v>62</v>
      </c>
      <c r="AO21" s="78">
        <v>0</v>
      </c>
      <c r="AP21" s="78">
        <v>42</v>
      </c>
      <c r="AQ21" s="78">
        <v>20</v>
      </c>
      <c r="AR21" s="78">
        <v>0</v>
      </c>
      <c r="AS21" s="78">
        <v>3</v>
      </c>
      <c r="AT21" s="78">
        <v>3</v>
      </c>
      <c r="AU21" s="78">
        <v>20</v>
      </c>
      <c r="AV21" s="78">
        <v>0</v>
      </c>
      <c r="AW21" s="78">
        <v>6</v>
      </c>
      <c r="AX21" s="78">
        <v>10</v>
      </c>
      <c r="AY21" s="78">
        <v>20</v>
      </c>
      <c r="AZ21" s="78">
        <v>0</v>
      </c>
      <c r="BA21" s="78">
        <v>0</v>
      </c>
      <c r="BB21" s="78">
        <v>0</v>
      </c>
      <c r="BC21" s="78">
        <v>0</v>
      </c>
      <c r="BD21" s="78">
        <v>0</v>
      </c>
      <c r="BE21" s="78">
        <v>0</v>
      </c>
      <c r="BF21" s="78">
        <v>0</v>
      </c>
      <c r="BG21" s="78">
        <v>0</v>
      </c>
      <c r="BH21" s="78">
        <v>0</v>
      </c>
      <c r="BI21" s="78">
        <v>4</v>
      </c>
      <c r="BJ21" s="78">
        <v>0</v>
      </c>
      <c r="BK21" s="78">
        <v>0</v>
      </c>
      <c r="BL21" s="78">
        <v>3</v>
      </c>
      <c r="BM21" s="78">
        <v>0</v>
      </c>
      <c r="BN21" s="78">
        <v>17</v>
      </c>
      <c r="BO21" s="78">
        <v>0</v>
      </c>
      <c r="BP21" s="78">
        <v>0</v>
      </c>
      <c r="BQ21" s="78"/>
      <c r="BR21" s="78"/>
      <c r="BS21" s="78"/>
      <c r="BT21" s="78"/>
      <c r="BU21" s="78">
        <v>7</v>
      </c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>
        <v>2</v>
      </c>
      <c r="CN21" s="78"/>
      <c r="CO21" s="78">
        <v>10</v>
      </c>
      <c r="CP21" s="78"/>
      <c r="CQ21" s="78"/>
      <c r="CR21" s="78"/>
      <c r="CS21" s="78"/>
      <c r="CT21" s="78"/>
      <c r="CU21" s="78"/>
      <c r="CV21" s="78">
        <v>4</v>
      </c>
      <c r="CW21" s="78"/>
      <c r="CX21" s="78">
        <v>5</v>
      </c>
      <c r="CY21" s="78"/>
      <c r="CZ21" s="78"/>
      <c r="DA21" s="78"/>
      <c r="DB21" s="78"/>
      <c r="DC21" s="224">
        <v>824</v>
      </c>
    </row>
    <row r="22" spans="1:107" x14ac:dyDescent="0.25">
      <c r="A22" s="217" t="s">
        <v>683</v>
      </c>
      <c r="B22" s="78">
        <v>0</v>
      </c>
      <c r="C22" s="78">
        <v>20</v>
      </c>
      <c r="D22" s="78">
        <v>18</v>
      </c>
      <c r="E22" s="78">
        <v>5</v>
      </c>
      <c r="F22" s="78">
        <v>1</v>
      </c>
      <c r="G22" s="78">
        <v>0</v>
      </c>
      <c r="H22" s="78">
        <v>3</v>
      </c>
      <c r="I22" s="78">
        <v>0</v>
      </c>
      <c r="J22" s="78">
        <v>18</v>
      </c>
      <c r="K22" s="78">
        <v>3</v>
      </c>
      <c r="L22" s="78">
        <v>30</v>
      </c>
      <c r="M22" s="78">
        <v>5</v>
      </c>
      <c r="N22" s="78">
        <v>0</v>
      </c>
      <c r="O22" s="78">
        <v>0</v>
      </c>
      <c r="P22" s="78">
        <v>7</v>
      </c>
      <c r="Q22" s="78">
        <v>6</v>
      </c>
      <c r="R22" s="78">
        <v>5</v>
      </c>
      <c r="S22" s="78">
        <v>0</v>
      </c>
      <c r="T22" s="78">
        <v>0</v>
      </c>
      <c r="U22" s="78">
        <v>7</v>
      </c>
      <c r="V22" s="78">
        <v>3</v>
      </c>
      <c r="W22" s="78">
        <v>0</v>
      </c>
      <c r="X22" s="78">
        <v>0</v>
      </c>
      <c r="Y22" s="78">
        <v>0</v>
      </c>
      <c r="Z22" s="78">
        <v>5</v>
      </c>
      <c r="AA22" s="78">
        <v>7</v>
      </c>
      <c r="AB22" s="78">
        <v>6</v>
      </c>
      <c r="AC22" s="78">
        <v>3</v>
      </c>
      <c r="AD22" s="78">
        <v>4</v>
      </c>
      <c r="AE22" s="78">
        <v>5</v>
      </c>
      <c r="AF22" s="78">
        <v>11</v>
      </c>
      <c r="AG22" s="78">
        <v>30</v>
      </c>
      <c r="AH22" s="78">
        <v>7</v>
      </c>
      <c r="AI22" s="78">
        <v>0</v>
      </c>
      <c r="AJ22" s="513">
        <v>23</v>
      </c>
      <c r="AK22" s="78">
        <v>5</v>
      </c>
      <c r="AL22" s="78">
        <v>0</v>
      </c>
      <c r="AM22" s="78">
        <v>3</v>
      </c>
      <c r="AN22" s="78">
        <v>32</v>
      </c>
      <c r="AO22" s="78">
        <v>0</v>
      </c>
      <c r="AP22" s="78">
        <v>41</v>
      </c>
      <c r="AQ22" s="78">
        <v>33</v>
      </c>
      <c r="AR22" s="78">
        <v>0</v>
      </c>
      <c r="AS22" s="78">
        <v>1</v>
      </c>
      <c r="AT22" s="78">
        <v>1</v>
      </c>
      <c r="AU22" s="78">
        <v>20</v>
      </c>
      <c r="AV22" s="78">
        <v>5</v>
      </c>
      <c r="AW22" s="78">
        <v>2</v>
      </c>
      <c r="AX22" s="78">
        <v>5</v>
      </c>
      <c r="AY22" s="78">
        <v>24</v>
      </c>
      <c r="AZ22" s="78">
        <v>0</v>
      </c>
      <c r="BA22" s="78">
        <v>0</v>
      </c>
      <c r="BB22" s="78">
        <v>0</v>
      </c>
      <c r="BC22" s="78">
        <v>0</v>
      </c>
      <c r="BD22" s="78">
        <v>0</v>
      </c>
      <c r="BE22" s="78">
        <v>0</v>
      </c>
      <c r="BF22" s="78">
        <v>0</v>
      </c>
      <c r="BG22" s="78">
        <v>0</v>
      </c>
      <c r="BH22" s="78">
        <v>0</v>
      </c>
      <c r="BI22" s="78">
        <v>1</v>
      </c>
      <c r="BJ22" s="78">
        <v>0</v>
      </c>
      <c r="BK22" s="78">
        <v>0</v>
      </c>
      <c r="BL22" s="78">
        <v>0</v>
      </c>
      <c r="BM22" s="78">
        <v>0</v>
      </c>
      <c r="BN22" s="78">
        <v>0</v>
      </c>
      <c r="BO22" s="78">
        <v>0</v>
      </c>
      <c r="BP22" s="78">
        <v>0</v>
      </c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>
        <v>2</v>
      </c>
      <c r="CN22" s="78"/>
      <c r="CO22" s="78">
        <v>10</v>
      </c>
      <c r="CP22" s="78"/>
      <c r="CQ22" s="78"/>
      <c r="CR22" s="78"/>
      <c r="CS22" s="78"/>
      <c r="CT22" s="78"/>
      <c r="CU22" s="78"/>
      <c r="CV22" s="78">
        <v>4</v>
      </c>
      <c r="CW22" s="78"/>
      <c r="CX22" s="78">
        <v>5</v>
      </c>
      <c r="CY22" s="78">
        <v>5</v>
      </c>
      <c r="CZ22" s="78">
        <v>5</v>
      </c>
      <c r="DA22" s="78"/>
      <c r="DB22" s="78"/>
      <c r="DC22" s="224">
        <v>436</v>
      </c>
    </row>
    <row r="23" spans="1:107" s="408" customFormat="1" x14ac:dyDescent="0.25">
      <c r="A23" s="512" t="s">
        <v>684</v>
      </c>
      <c r="B23" s="513">
        <v>0</v>
      </c>
      <c r="C23" s="513">
        <v>1</v>
      </c>
      <c r="D23" s="513">
        <v>5</v>
      </c>
      <c r="E23" s="513">
        <v>7</v>
      </c>
      <c r="F23" s="513">
        <v>31</v>
      </c>
      <c r="G23" s="513">
        <v>0</v>
      </c>
      <c r="H23" s="513">
        <v>3</v>
      </c>
      <c r="I23" s="513">
        <v>27</v>
      </c>
      <c r="J23" s="513">
        <v>7</v>
      </c>
      <c r="K23" s="513">
        <v>3</v>
      </c>
      <c r="L23" s="513">
        <v>0</v>
      </c>
      <c r="M23" s="513">
        <v>12</v>
      </c>
      <c r="N23" s="513">
        <v>8</v>
      </c>
      <c r="O23" s="513">
        <v>2</v>
      </c>
      <c r="P23" s="513">
        <v>21</v>
      </c>
      <c r="Q23" s="513">
        <v>0</v>
      </c>
      <c r="R23" s="513">
        <v>1</v>
      </c>
      <c r="S23" s="513">
        <v>5</v>
      </c>
      <c r="T23" s="513">
        <v>0</v>
      </c>
      <c r="U23" s="513">
        <v>46</v>
      </c>
      <c r="V23" s="513">
        <v>1</v>
      </c>
      <c r="W23" s="513">
        <v>1</v>
      </c>
      <c r="X23" s="513">
        <v>9</v>
      </c>
      <c r="Y23" s="513">
        <v>1</v>
      </c>
      <c r="Z23" s="513">
        <v>30</v>
      </c>
      <c r="AA23" s="513">
        <v>18</v>
      </c>
      <c r="AB23" s="513">
        <v>1</v>
      </c>
      <c r="AC23" s="513">
        <v>2</v>
      </c>
      <c r="AD23" s="513">
        <v>9</v>
      </c>
      <c r="AE23" s="513">
        <v>9</v>
      </c>
      <c r="AF23" s="513">
        <v>72</v>
      </c>
      <c r="AG23" s="513">
        <v>14</v>
      </c>
      <c r="AH23" s="513">
        <v>3</v>
      </c>
      <c r="AI23" s="513">
        <v>12</v>
      </c>
      <c r="AJ23" s="513">
        <v>42</v>
      </c>
      <c r="AK23" s="513">
        <v>13</v>
      </c>
      <c r="AL23" s="513">
        <v>6</v>
      </c>
      <c r="AM23" s="513">
        <v>10</v>
      </c>
      <c r="AN23" s="513">
        <v>9</v>
      </c>
      <c r="AO23" s="513">
        <v>0</v>
      </c>
      <c r="AP23" s="513">
        <v>102</v>
      </c>
      <c r="AQ23" s="513">
        <v>19</v>
      </c>
      <c r="AR23" s="513">
        <v>2</v>
      </c>
      <c r="AS23" s="513">
        <v>0</v>
      </c>
      <c r="AT23" s="513">
        <v>2</v>
      </c>
      <c r="AU23" s="513">
        <v>1</v>
      </c>
      <c r="AV23" s="513">
        <v>25</v>
      </c>
      <c r="AW23" s="513">
        <v>14</v>
      </c>
      <c r="AX23" s="513">
        <v>14</v>
      </c>
      <c r="AY23" s="513">
        <v>24</v>
      </c>
      <c r="AZ23" s="513">
        <v>1</v>
      </c>
      <c r="BA23" s="513">
        <v>0</v>
      </c>
      <c r="BB23" s="513">
        <v>0</v>
      </c>
      <c r="BC23" s="513">
        <v>0</v>
      </c>
      <c r="BD23" s="513">
        <v>3</v>
      </c>
      <c r="BE23" s="513">
        <v>4</v>
      </c>
      <c r="BF23" s="513">
        <v>1</v>
      </c>
      <c r="BG23" s="513">
        <v>1</v>
      </c>
      <c r="BH23" s="513">
        <v>3</v>
      </c>
      <c r="BI23" s="513">
        <v>2</v>
      </c>
      <c r="BJ23" s="513">
        <v>0</v>
      </c>
      <c r="BK23" s="513">
        <v>0</v>
      </c>
      <c r="BL23" s="513">
        <v>1</v>
      </c>
      <c r="BM23" s="513">
        <v>1</v>
      </c>
      <c r="BN23" s="513">
        <v>31</v>
      </c>
      <c r="BO23" s="513">
        <v>1</v>
      </c>
      <c r="BP23" s="513">
        <v>0</v>
      </c>
      <c r="BQ23" s="513">
        <v>8</v>
      </c>
      <c r="BR23" s="513"/>
      <c r="BS23" s="513"/>
      <c r="BT23" s="513"/>
      <c r="BU23" s="513"/>
      <c r="BV23" s="513"/>
      <c r="BW23" s="513"/>
      <c r="BX23" s="513">
        <v>1</v>
      </c>
      <c r="BY23" s="513"/>
      <c r="BZ23" s="513"/>
      <c r="CA23" s="513"/>
      <c r="CB23" s="513">
        <v>1</v>
      </c>
      <c r="CC23" s="513">
        <v>20</v>
      </c>
      <c r="CD23" s="513">
        <v>2</v>
      </c>
      <c r="CE23" s="513">
        <v>2</v>
      </c>
      <c r="CF23" s="513">
        <v>34</v>
      </c>
      <c r="CG23" s="513"/>
      <c r="CH23" s="513"/>
      <c r="CI23" s="513">
        <v>5</v>
      </c>
      <c r="CJ23" s="513">
        <v>6</v>
      </c>
      <c r="CK23" s="513"/>
      <c r="CL23" s="513">
        <v>30</v>
      </c>
      <c r="CM23" s="513">
        <v>4</v>
      </c>
      <c r="CN23" s="513">
        <v>1</v>
      </c>
      <c r="CO23" s="513"/>
      <c r="CP23" s="513"/>
      <c r="CQ23" s="513"/>
      <c r="CR23" s="513"/>
      <c r="CS23" s="513"/>
      <c r="CT23" s="513"/>
      <c r="CU23" s="513"/>
      <c r="CV23" s="513">
        <v>6</v>
      </c>
      <c r="CW23" s="513"/>
      <c r="CX23" s="513"/>
      <c r="CY23" s="513"/>
      <c r="CZ23" s="513"/>
      <c r="DA23" s="513"/>
      <c r="DB23" s="513"/>
      <c r="DC23" s="514">
        <v>813</v>
      </c>
    </row>
    <row r="24" spans="1:107" x14ac:dyDescent="0.25">
      <c r="A24" s="217" t="s">
        <v>685</v>
      </c>
      <c r="B24" s="78">
        <v>31</v>
      </c>
      <c r="C24" s="78">
        <v>23</v>
      </c>
      <c r="D24" s="78">
        <v>42</v>
      </c>
      <c r="E24" s="78">
        <v>25</v>
      </c>
      <c r="F24" s="78">
        <v>1</v>
      </c>
      <c r="G24" s="78">
        <v>10</v>
      </c>
      <c r="H24" s="78">
        <v>36</v>
      </c>
      <c r="I24" s="78">
        <v>20</v>
      </c>
      <c r="J24" s="78">
        <v>5</v>
      </c>
      <c r="K24" s="78">
        <v>38</v>
      </c>
      <c r="L24" s="78">
        <v>20</v>
      </c>
      <c r="M24" s="78">
        <v>6</v>
      </c>
      <c r="N24" s="78">
        <v>51</v>
      </c>
      <c r="O24" s="78">
        <v>35</v>
      </c>
      <c r="P24" s="78">
        <v>9</v>
      </c>
      <c r="Q24" s="78">
        <v>0</v>
      </c>
      <c r="R24" s="78">
        <v>0</v>
      </c>
      <c r="S24" s="78">
        <v>35</v>
      </c>
      <c r="T24" s="78">
        <v>0</v>
      </c>
      <c r="U24" s="78">
        <v>4</v>
      </c>
      <c r="V24" s="78">
        <v>14</v>
      </c>
      <c r="W24" s="78">
        <v>0</v>
      </c>
      <c r="X24" s="78">
        <v>0</v>
      </c>
      <c r="Y24" s="78">
        <v>0</v>
      </c>
      <c r="Z24" s="78">
        <v>12</v>
      </c>
      <c r="AA24" s="78">
        <v>3</v>
      </c>
      <c r="AB24" s="78">
        <v>1</v>
      </c>
      <c r="AC24" s="78">
        <v>1</v>
      </c>
      <c r="AD24" s="78">
        <v>0</v>
      </c>
      <c r="AE24" s="78">
        <v>36</v>
      </c>
      <c r="AF24" s="78">
        <v>78</v>
      </c>
      <c r="AG24" s="78">
        <v>30</v>
      </c>
      <c r="AH24" s="78">
        <v>0</v>
      </c>
      <c r="AI24" s="78">
        <v>33</v>
      </c>
      <c r="AJ24" s="513">
        <v>33</v>
      </c>
      <c r="AK24" s="78">
        <v>0</v>
      </c>
      <c r="AL24" s="78">
        <v>4</v>
      </c>
      <c r="AM24" s="78">
        <v>14</v>
      </c>
      <c r="AN24" s="78">
        <v>60</v>
      </c>
      <c r="AO24" s="78">
        <v>0</v>
      </c>
      <c r="AP24" s="78">
        <v>58</v>
      </c>
      <c r="AQ24" s="78">
        <v>21</v>
      </c>
      <c r="AR24" s="78">
        <v>0</v>
      </c>
      <c r="AS24" s="78">
        <v>1</v>
      </c>
      <c r="AT24" s="78">
        <v>1</v>
      </c>
      <c r="AU24" s="78">
        <v>20</v>
      </c>
      <c r="AV24" s="78">
        <v>51</v>
      </c>
      <c r="AW24" s="78">
        <v>9</v>
      </c>
      <c r="AX24" s="78">
        <v>6</v>
      </c>
      <c r="AY24" s="78">
        <v>28</v>
      </c>
      <c r="AZ24" s="78">
        <v>0</v>
      </c>
      <c r="BA24" s="78">
        <v>0</v>
      </c>
      <c r="BB24" s="78">
        <v>0</v>
      </c>
      <c r="BC24" s="78">
        <v>0</v>
      </c>
      <c r="BD24" s="78">
        <v>0</v>
      </c>
      <c r="BE24" s="78">
        <v>2</v>
      </c>
      <c r="BF24" s="78">
        <v>0</v>
      </c>
      <c r="BG24" s="78">
        <v>0</v>
      </c>
      <c r="BH24" s="78">
        <v>0</v>
      </c>
      <c r="BI24" s="78">
        <v>0</v>
      </c>
      <c r="BJ24" s="78">
        <v>0</v>
      </c>
      <c r="BK24" s="78">
        <v>0</v>
      </c>
      <c r="BL24" s="78">
        <v>0</v>
      </c>
      <c r="BM24" s="78">
        <v>0</v>
      </c>
      <c r="BN24" s="78">
        <v>0</v>
      </c>
      <c r="BO24" s="78">
        <v>0</v>
      </c>
      <c r="BP24" s="78">
        <v>0</v>
      </c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>
        <v>30</v>
      </c>
      <c r="CD24" s="78"/>
      <c r="CE24" s="78">
        <v>2</v>
      </c>
      <c r="CF24" s="78"/>
      <c r="CG24" s="78"/>
      <c r="CH24" s="78"/>
      <c r="CI24" s="78"/>
      <c r="CJ24" s="78"/>
      <c r="CK24" s="78"/>
      <c r="CL24" s="78"/>
      <c r="CM24" s="78">
        <v>4</v>
      </c>
      <c r="CN24" s="78"/>
      <c r="CO24" s="78">
        <v>10</v>
      </c>
      <c r="CP24" s="78"/>
      <c r="CQ24" s="78"/>
      <c r="CR24" s="78"/>
      <c r="CS24" s="78"/>
      <c r="CT24" s="78"/>
      <c r="CU24" s="78">
        <v>30</v>
      </c>
      <c r="CV24" s="78">
        <v>4</v>
      </c>
      <c r="CW24" s="78"/>
      <c r="CX24" s="78"/>
      <c r="CY24" s="78"/>
      <c r="CZ24" s="78"/>
      <c r="DA24" s="78"/>
      <c r="DB24" s="78"/>
      <c r="DC24" s="224">
        <v>987</v>
      </c>
    </row>
    <row r="25" spans="1:107" s="408" customFormat="1" x14ac:dyDescent="0.25">
      <c r="A25" s="512" t="s">
        <v>686</v>
      </c>
      <c r="B25" s="513">
        <v>1</v>
      </c>
      <c r="C25" s="513">
        <v>20</v>
      </c>
      <c r="D25" s="513">
        <v>4</v>
      </c>
      <c r="E25" s="513">
        <v>18</v>
      </c>
      <c r="F25" s="513">
        <v>31</v>
      </c>
      <c r="G25" s="513">
        <v>0</v>
      </c>
      <c r="H25" s="513">
        <v>4</v>
      </c>
      <c r="I25" s="513">
        <v>64</v>
      </c>
      <c r="J25" s="513">
        <v>5</v>
      </c>
      <c r="K25" s="513">
        <v>4</v>
      </c>
      <c r="L25" s="513">
        <v>0</v>
      </c>
      <c r="M25" s="513">
        <v>22</v>
      </c>
      <c r="N25" s="513">
        <v>9</v>
      </c>
      <c r="O25" s="513">
        <v>4</v>
      </c>
      <c r="P25" s="513">
        <v>19</v>
      </c>
      <c r="Q25" s="513">
        <v>2</v>
      </c>
      <c r="R25" s="513">
        <v>32</v>
      </c>
      <c r="S25" s="513">
        <v>3</v>
      </c>
      <c r="T25" s="513">
        <v>0</v>
      </c>
      <c r="U25" s="513">
        <v>57</v>
      </c>
      <c r="V25" s="513">
        <v>1</v>
      </c>
      <c r="W25" s="513">
        <v>1</v>
      </c>
      <c r="X25" s="513">
        <v>12</v>
      </c>
      <c r="Y25" s="513">
        <v>1</v>
      </c>
      <c r="Z25" s="513">
        <v>41</v>
      </c>
      <c r="AA25" s="513">
        <v>26</v>
      </c>
      <c r="AB25" s="513">
        <v>1</v>
      </c>
      <c r="AC25" s="513">
        <v>5</v>
      </c>
      <c r="AD25" s="513">
        <v>5</v>
      </c>
      <c r="AE25" s="513">
        <v>7</v>
      </c>
      <c r="AF25" s="513">
        <v>170</v>
      </c>
      <c r="AG25" s="513">
        <v>14</v>
      </c>
      <c r="AH25" s="513">
        <v>8</v>
      </c>
      <c r="AI25" s="513">
        <v>0</v>
      </c>
      <c r="AJ25" s="513">
        <v>152</v>
      </c>
      <c r="AK25" s="513">
        <v>15</v>
      </c>
      <c r="AL25" s="513">
        <v>3</v>
      </c>
      <c r="AM25" s="513">
        <v>14</v>
      </c>
      <c r="AN25" s="513">
        <v>11</v>
      </c>
      <c r="AO25" s="513">
        <v>0</v>
      </c>
      <c r="AP25" s="513">
        <v>186</v>
      </c>
      <c r="AQ25" s="513">
        <v>15</v>
      </c>
      <c r="AR25" s="513">
        <v>6</v>
      </c>
      <c r="AS25" s="513">
        <v>5</v>
      </c>
      <c r="AT25" s="513">
        <v>6</v>
      </c>
      <c r="AU25" s="513">
        <v>4</v>
      </c>
      <c r="AV25" s="513">
        <v>73</v>
      </c>
      <c r="AW25" s="513">
        <v>24</v>
      </c>
      <c r="AX25" s="513">
        <v>23</v>
      </c>
      <c r="AY25" s="513">
        <v>36</v>
      </c>
      <c r="AZ25" s="513">
        <v>2</v>
      </c>
      <c r="BA25" s="513">
        <v>0</v>
      </c>
      <c r="BB25" s="513">
        <v>0</v>
      </c>
      <c r="BC25" s="513">
        <v>2</v>
      </c>
      <c r="BD25" s="513">
        <v>7</v>
      </c>
      <c r="BE25" s="513">
        <v>2</v>
      </c>
      <c r="BF25" s="513">
        <v>2</v>
      </c>
      <c r="BG25" s="513">
        <v>1</v>
      </c>
      <c r="BH25" s="513">
        <v>2</v>
      </c>
      <c r="BI25" s="513">
        <v>3</v>
      </c>
      <c r="BJ25" s="513">
        <v>0</v>
      </c>
      <c r="BK25" s="513">
        <v>0</v>
      </c>
      <c r="BL25" s="513">
        <v>1</v>
      </c>
      <c r="BM25" s="513">
        <v>1</v>
      </c>
      <c r="BN25" s="513">
        <v>32</v>
      </c>
      <c r="BO25" s="513">
        <v>1</v>
      </c>
      <c r="BP25" s="513">
        <v>1</v>
      </c>
      <c r="BQ25" s="513">
        <v>7</v>
      </c>
      <c r="BR25" s="513">
        <v>29</v>
      </c>
      <c r="BS25" s="513"/>
      <c r="BT25" s="513"/>
      <c r="BU25" s="513"/>
      <c r="BV25" s="513"/>
      <c r="BW25" s="513"/>
      <c r="BX25" s="513">
        <v>1</v>
      </c>
      <c r="BY25" s="513"/>
      <c r="BZ25" s="513"/>
      <c r="CA25" s="513"/>
      <c r="CB25" s="513">
        <v>1</v>
      </c>
      <c r="CC25" s="513">
        <v>30</v>
      </c>
      <c r="CD25" s="513"/>
      <c r="CE25" s="513"/>
      <c r="CF25" s="513">
        <v>38</v>
      </c>
      <c r="CG25" s="513">
        <v>1</v>
      </c>
      <c r="CH25" s="513"/>
      <c r="CI25" s="513">
        <v>6</v>
      </c>
      <c r="CJ25" s="513">
        <v>15</v>
      </c>
      <c r="CK25" s="513">
        <v>25</v>
      </c>
      <c r="CL25" s="513">
        <v>30</v>
      </c>
      <c r="CM25" s="513">
        <v>27</v>
      </c>
      <c r="CN25" s="513"/>
      <c r="CO25" s="513"/>
      <c r="CP25" s="513"/>
      <c r="CQ25" s="513"/>
      <c r="CR25" s="513"/>
      <c r="CS25" s="513"/>
      <c r="CT25" s="513"/>
      <c r="CU25" s="513"/>
      <c r="CV25" s="513">
        <v>6</v>
      </c>
      <c r="CW25" s="513"/>
      <c r="CX25" s="513"/>
      <c r="CY25" s="513"/>
      <c r="CZ25" s="513"/>
      <c r="DA25" s="513"/>
      <c r="DB25" s="513"/>
      <c r="DC25" s="514">
        <v>1437</v>
      </c>
    </row>
    <row r="26" spans="1:107" x14ac:dyDescent="0.25">
      <c r="A26" s="217" t="s">
        <v>687</v>
      </c>
      <c r="B26" s="78">
        <v>0</v>
      </c>
      <c r="C26" s="78">
        <v>30</v>
      </c>
      <c r="D26" s="78">
        <v>5</v>
      </c>
      <c r="E26" s="78">
        <v>1</v>
      </c>
      <c r="F26" s="78">
        <v>12</v>
      </c>
      <c r="G26" s="78">
        <v>10</v>
      </c>
      <c r="H26" s="78">
        <v>0</v>
      </c>
      <c r="I26" s="78">
        <v>3</v>
      </c>
      <c r="J26" s="78">
        <v>3</v>
      </c>
      <c r="K26" s="78">
        <v>3</v>
      </c>
      <c r="L26" s="78">
        <v>30</v>
      </c>
      <c r="M26" s="78">
        <v>1</v>
      </c>
      <c r="N26" s="78">
        <v>0</v>
      </c>
      <c r="O26" s="78">
        <v>1</v>
      </c>
      <c r="P26" s="78">
        <v>11</v>
      </c>
      <c r="Q26" s="78">
        <v>3</v>
      </c>
      <c r="R26" s="78">
        <v>4</v>
      </c>
      <c r="S26" s="78">
        <v>2</v>
      </c>
      <c r="T26" s="78">
        <v>0</v>
      </c>
      <c r="U26" s="78">
        <v>7</v>
      </c>
      <c r="V26" s="78">
        <v>0</v>
      </c>
      <c r="W26" s="78">
        <v>2</v>
      </c>
      <c r="X26" s="78">
        <v>3</v>
      </c>
      <c r="Y26" s="78">
        <v>2</v>
      </c>
      <c r="Z26" s="78">
        <v>5</v>
      </c>
      <c r="AA26" s="78">
        <v>4</v>
      </c>
      <c r="AB26" s="78">
        <v>2</v>
      </c>
      <c r="AC26" s="78">
        <v>10</v>
      </c>
      <c r="AD26" s="78">
        <v>15</v>
      </c>
      <c r="AE26" s="78">
        <v>0</v>
      </c>
      <c r="AF26" s="78">
        <v>14</v>
      </c>
      <c r="AG26" s="78">
        <v>31</v>
      </c>
      <c r="AH26" s="78">
        <v>0</v>
      </c>
      <c r="AI26" s="78">
        <v>6</v>
      </c>
      <c r="AJ26" s="513">
        <v>37</v>
      </c>
      <c r="AK26" s="78">
        <v>2</v>
      </c>
      <c r="AL26" s="78">
        <v>0</v>
      </c>
      <c r="AM26" s="78">
        <v>3</v>
      </c>
      <c r="AN26" s="78">
        <v>0</v>
      </c>
      <c r="AO26" s="78">
        <v>0</v>
      </c>
      <c r="AP26" s="78">
        <v>9</v>
      </c>
      <c r="AQ26" s="78">
        <v>12</v>
      </c>
      <c r="AR26" s="78">
        <v>0</v>
      </c>
      <c r="AS26" s="78">
        <v>0</v>
      </c>
      <c r="AT26" s="78">
        <v>0</v>
      </c>
      <c r="AU26" s="78">
        <v>10</v>
      </c>
      <c r="AV26" s="78">
        <v>3</v>
      </c>
      <c r="AW26" s="78">
        <v>15</v>
      </c>
      <c r="AX26" s="78">
        <v>1</v>
      </c>
      <c r="AY26" s="78">
        <v>12</v>
      </c>
      <c r="AZ26" s="78">
        <v>0</v>
      </c>
      <c r="BA26" s="78">
        <v>0</v>
      </c>
      <c r="BB26" s="78">
        <v>0</v>
      </c>
      <c r="BC26" s="78">
        <v>0</v>
      </c>
      <c r="BD26" s="78">
        <v>0</v>
      </c>
      <c r="BE26" s="78">
        <v>0</v>
      </c>
      <c r="BF26" s="78">
        <v>0</v>
      </c>
      <c r="BG26" s="78">
        <v>0</v>
      </c>
      <c r="BH26" s="78">
        <v>0</v>
      </c>
      <c r="BI26" s="78">
        <v>0</v>
      </c>
      <c r="BJ26" s="78">
        <v>0</v>
      </c>
      <c r="BK26" s="78">
        <v>0</v>
      </c>
      <c r="BL26" s="78">
        <v>2</v>
      </c>
      <c r="BM26" s="78">
        <v>2</v>
      </c>
      <c r="BN26" s="78">
        <v>2</v>
      </c>
      <c r="BO26" s="78">
        <v>2</v>
      </c>
      <c r="BP26" s="78">
        <v>2</v>
      </c>
      <c r="BQ26" s="78">
        <v>1</v>
      </c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>
        <v>1</v>
      </c>
      <c r="CG26" s="78"/>
      <c r="CH26" s="78"/>
      <c r="CI26" s="78"/>
      <c r="CJ26" s="78"/>
      <c r="CK26" s="78"/>
      <c r="CL26" s="78">
        <v>30</v>
      </c>
      <c r="CM26" s="78">
        <v>6</v>
      </c>
      <c r="CN26" s="78"/>
      <c r="CO26" s="78">
        <v>5</v>
      </c>
      <c r="CP26" s="78"/>
      <c r="CQ26" s="78"/>
      <c r="CR26" s="78"/>
      <c r="CS26" s="78"/>
      <c r="CT26" s="78">
        <v>3</v>
      </c>
      <c r="CU26" s="78"/>
      <c r="CV26" s="78">
        <v>2</v>
      </c>
      <c r="CW26" s="78">
        <v>15</v>
      </c>
      <c r="CX26" s="78"/>
      <c r="CY26" s="78"/>
      <c r="CZ26" s="78"/>
      <c r="DA26" s="78"/>
      <c r="DB26" s="78"/>
      <c r="DC26" s="224">
        <v>397</v>
      </c>
    </row>
    <row r="27" spans="1:107" x14ac:dyDescent="0.25">
      <c r="A27" s="226" t="s">
        <v>225</v>
      </c>
      <c r="B27" s="226">
        <f t="shared" ref="B27:BM27" si="0">SUM(B5:B26)</f>
        <v>157</v>
      </c>
      <c r="C27" s="226">
        <f t="shared" si="0"/>
        <v>277</v>
      </c>
      <c r="D27" s="226">
        <f t="shared" si="0"/>
        <v>335</v>
      </c>
      <c r="E27" s="226">
        <f t="shared" si="0"/>
        <v>301</v>
      </c>
      <c r="F27" s="226">
        <f t="shared" si="0"/>
        <v>153</v>
      </c>
      <c r="G27" s="226">
        <f t="shared" si="0"/>
        <v>68</v>
      </c>
      <c r="H27" s="226">
        <f t="shared" si="0"/>
        <v>187</v>
      </c>
      <c r="I27" s="226">
        <f t="shared" si="0"/>
        <v>489</v>
      </c>
      <c r="J27" s="226">
        <f t="shared" si="0"/>
        <v>138</v>
      </c>
      <c r="K27" s="226">
        <f t="shared" si="0"/>
        <v>259</v>
      </c>
      <c r="L27" s="226">
        <f t="shared" si="0"/>
        <v>294</v>
      </c>
      <c r="M27" s="226">
        <f t="shared" si="0"/>
        <v>146</v>
      </c>
      <c r="N27" s="226">
        <f t="shared" si="0"/>
        <v>341</v>
      </c>
      <c r="O27" s="226">
        <f t="shared" si="0"/>
        <v>234</v>
      </c>
      <c r="P27" s="226">
        <f t="shared" si="0"/>
        <v>299</v>
      </c>
      <c r="Q27" s="226">
        <f t="shared" si="0"/>
        <v>129</v>
      </c>
      <c r="R27" s="226">
        <f t="shared" si="0"/>
        <v>129</v>
      </c>
      <c r="S27" s="226">
        <f t="shared" si="0"/>
        <v>187</v>
      </c>
      <c r="T27" s="226">
        <f t="shared" si="0"/>
        <v>26</v>
      </c>
      <c r="U27" s="226">
        <f t="shared" si="0"/>
        <v>364</v>
      </c>
      <c r="V27" s="226">
        <f t="shared" si="0"/>
        <v>51</v>
      </c>
      <c r="W27" s="226">
        <f t="shared" si="0"/>
        <v>12</v>
      </c>
      <c r="X27" s="226">
        <f t="shared" si="0"/>
        <v>102</v>
      </c>
      <c r="Y27" s="226">
        <f t="shared" si="0"/>
        <v>17</v>
      </c>
      <c r="Z27" s="226">
        <f t="shared" si="0"/>
        <v>254</v>
      </c>
      <c r="AA27" s="226">
        <f t="shared" si="0"/>
        <v>196</v>
      </c>
      <c r="AB27" s="226">
        <f t="shared" si="0"/>
        <v>38</v>
      </c>
      <c r="AC27" s="226">
        <f t="shared" si="0"/>
        <v>120</v>
      </c>
      <c r="AD27" s="226">
        <f t="shared" si="0"/>
        <v>104</v>
      </c>
      <c r="AE27" s="226">
        <f t="shared" si="0"/>
        <v>212</v>
      </c>
      <c r="AF27" s="226">
        <f t="shared" si="0"/>
        <v>1405</v>
      </c>
      <c r="AG27" s="226">
        <f t="shared" si="0"/>
        <v>351</v>
      </c>
      <c r="AH27" s="226">
        <f t="shared" si="0"/>
        <v>86</v>
      </c>
      <c r="AI27" s="226">
        <f t="shared" si="0"/>
        <v>261</v>
      </c>
      <c r="AJ27" s="533">
        <f t="shared" si="0"/>
        <v>1046</v>
      </c>
      <c r="AK27" s="226">
        <f t="shared" si="0"/>
        <v>144</v>
      </c>
      <c r="AL27" s="226">
        <f t="shared" si="0"/>
        <v>52</v>
      </c>
      <c r="AM27" s="226">
        <f t="shared" si="0"/>
        <v>189</v>
      </c>
      <c r="AN27" s="226">
        <f t="shared" si="0"/>
        <v>446</v>
      </c>
      <c r="AO27" s="226">
        <f t="shared" si="0"/>
        <v>16</v>
      </c>
      <c r="AP27" s="226">
        <f t="shared" si="0"/>
        <v>1430</v>
      </c>
      <c r="AQ27" s="226">
        <f t="shared" si="0"/>
        <v>397</v>
      </c>
      <c r="AR27" s="226">
        <f t="shared" si="0"/>
        <v>47</v>
      </c>
      <c r="AS27" s="226">
        <f t="shared" si="0"/>
        <v>49</v>
      </c>
      <c r="AT27" s="226">
        <f t="shared" si="0"/>
        <v>78</v>
      </c>
      <c r="AU27" s="226">
        <f t="shared" si="0"/>
        <v>267</v>
      </c>
      <c r="AV27" s="226">
        <f t="shared" si="0"/>
        <v>331</v>
      </c>
      <c r="AW27" s="226">
        <f t="shared" si="0"/>
        <v>174</v>
      </c>
      <c r="AX27" s="226">
        <f t="shared" si="0"/>
        <v>158</v>
      </c>
      <c r="AY27" s="226">
        <f t="shared" si="0"/>
        <v>485</v>
      </c>
      <c r="AZ27" s="226">
        <f t="shared" si="0"/>
        <v>50</v>
      </c>
      <c r="BA27" s="226">
        <f t="shared" si="0"/>
        <v>8</v>
      </c>
      <c r="BB27" s="226">
        <f t="shared" si="0"/>
        <v>11</v>
      </c>
      <c r="BC27" s="226">
        <f t="shared" si="0"/>
        <v>5</v>
      </c>
      <c r="BD27" s="226">
        <f t="shared" si="0"/>
        <v>46</v>
      </c>
      <c r="BE27" s="226">
        <f t="shared" si="0"/>
        <v>20</v>
      </c>
      <c r="BF27" s="226">
        <f t="shared" si="0"/>
        <v>13</v>
      </c>
      <c r="BG27" s="226">
        <f t="shared" si="0"/>
        <v>10</v>
      </c>
      <c r="BH27" s="226">
        <f t="shared" si="0"/>
        <v>24</v>
      </c>
      <c r="BI27" s="226">
        <f t="shared" si="0"/>
        <v>119</v>
      </c>
      <c r="BJ27" s="226">
        <f t="shared" si="0"/>
        <v>3</v>
      </c>
      <c r="BK27" s="226">
        <f t="shared" si="0"/>
        <v>6</v>
      </c>
      <c r="BL27" s="226">
        <f t="shared" si="0"/>
        <v>32</v>
      </c>
      <c r="BM27" s="226">
        <f t="shared" si="0"/>
        <v>10</v>
      </c>
      <c r="BN27" s="226">
        <f t="shared" ref="BN27:DC27" si="1">SUM(BN5:BN26)</f>
        <v>213</v>
      </c>
      <c r="BO27" s="226">
        <f t="shared" si="1"/>
        <v>9</v>
      </c>
      <c r="BP27" s="226">
        <f t="shared" si="1"/>
        <v>12</v>
      </c>
      <c r="BQ27" s="226">
        <f t="shared" si="1"/>
        <v>35</v>
      </c>
      <c r="BR27" s="226">
        <f t="shared" si="1"/>
        <v>136</v>
      </c>
      <c r="BS27" s="226">
        <f t="shared" si="1"/>
        <v>5</v>
      </c>
      <c r="BT27" s="226">
        <f t="shared" si="1"/>
        <v>27</v>
      </c>
      <c r="BU27" s="226">
        <f t="shared" si="1"/>
        <v>29</v>
      </c>
      <c r="BV27" s="226">
        <f t="shared" si="1"/>
        <v>11</v>
      </c>
      <c r="BW27" s="226">
        <f t="shared" si="1"/>
        <v>9</v>
      </c>
      <c r="BX27" s="226">
        <f t="shared" si="1"/>
        <v>7</v>
      </c>
      <c r="BY27" s="226">
        <f t="shared" si="1"/>
        <v>36</v>
      </c>
      <c r="BZ27" s="226">
        <f t="shared" si="1"/>
        <v>7</v>
      </c>
      <c r="CA27" s="226">
        <f t="shared" si="1"/>
        <v>2</v>
      </c>
      <c r="CB27" s="226">
        <f t="shared" si="1"/>
        <v>4</v>
      </c>
      <c r="CC27" s="226">
        <f t="shared" si="1"/>
        <v>218</v>
      </c>
      <c r="CD27" s="226">
        <f t="shared" si="1"/>
        <v>12</v>
      </c>
      <c r="CE27" s="226">
        <f t="shared" si="1"/>
        <v>16</v>
      </c>
      <c r="CF27" s="226">
        <f t="shared" si="1"/>
        <v>272</v>
      </c>
      <c r="CG27" s="226">
        <f t="shared" si="1"/>
        <v>4</v>
      </c>
      <c r="CH27" s="226">
        <f t="shared" si="1"/>
        <v>0</v>
      </c>
      <c r="CI27" s="226">
        <f t="shared" si="1"/>
        <v>17</v>
      </c>
      <c r="CJ27" s="226">
        <f t="shared" si="1"/>
        <v>62</v>
      </c>
      <c r="CK27" s="226">
        <f t="shared" si="1"/>
        <v>80</v>
      </c>
      <c r="CL27" s="226">
        <f t="shared" si="1"/>
        <v>270</v>
      </c>
      <c r="CM27" s="226">
        <f t="shared" si="1"/>
        <v>65</v>
      </c>
      <c r="CN27" s="226">
        <f t="shared" si="1"/>
        <v>8</v>
      </c>
      <c r="CO27" s="226">
        <f t="shared" si="1"/>
        <v>75</v>
      </c>
      <c r="CP27" s="226">
        <f t="shared" si="1"/>
        <v>30</v>
      </c>
      <c r="CQ27" s="226">
        <f t="shared" si="1"/>
        <v>30</v>
      </c>
      <c r="CR27" s="226">
        <f t="shared" si="1"/>
        <v>30</v>
      </c>
      <c r="CS27" s="226">
        <f t="shared" si="1"/>
        <v>30</v>
      </c>
      <c r="CT27" s="226">
        <f t="shared" si="1"/>
        <v>76</v>
      </c>
      <c r="CU27" s="226">
        <f t="shared" si="1"/>
        <v>30</v>
      </c>
      <c r="CV27" s="226">
        <f t="shared" si="1"/>
        <v>70</v>
      </c>
      <c r="CW27" s="226">
        <f t="shared" si="1"/>
        <v>45</v>
      </c>
      <c r="CX27" s="226">
        <f t="shared" si="1"/>
        <v>30</v>
      </c>
      <c r="CY27" s="226">
        <f t="shared" si="1"/>
        <v>30</v>
      </c>
      <c r="CZ27" s="226">
        <f t="shared" si="1"/>
        <v>10</v>
      </c>
      <c r="DA27" s="226">
        <f t="shared" si="1"/>
        <v>0</v>
      </c>
      <c r="DB27" s="226">
        <f t="shared" si="1"/>
        <v>0</v>
      </c>
      <c r="DC27" s="226">
        <f t="shared" si="1"/>
        <v>15440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4C7FA5466C94E8517B32B1AE5CACC" ma:contentTypeVersion="8" ma:contentTypeDescription="Create a new document." ma:contentTypeScope="" ma:versionID="c460c2c8bdbef585d0dd74f48c9bab19">
  <xsd:schema xmlns:xsd="http://www.w3.org/2001/XMLSchema" xmlns:xs="http://www.w3.org/2001/XMLSchema" xmlns:p="http://schemas.microsoft.com/office/2006/metadata/properties" xmlns:ns2="3898f6d4-6cb0-4920-8d93-0dc904493100" targetNamespace="http://schemas.microsoft.com/office/2006/metadata/properties" ma:root="true" ma:fieldsID="80703ff1cd77d7f3d1b05ac9a79fd7e0" ns2:_="">
    <xsd:import namespace="3898f6d4-6cb0-4920-8d93-0dc904493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8f6d4-6cb0-4920-8d93-0dc904493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BEE3DD-688F-43CC-82E9-CDBAA99AEC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7AA037-0C6E-4E4C-AEA2-4C281CFC06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EF0B72-28F0-4EAA-8E88-7C8117EAF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8f6d4-6cb0-4920-8d93-0dc904493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13</vt:i4>
      </vt:variant>
    </vt:vector>
  </HeadingPairs>
  <TitlesOfParts>
    <vt:vector size="38" baseType="lpstr">
      <vt:lpstr>TSD-Bi-Weekly</vt:lpstr>
      <vt:lpstr>TSD-%</vt:lpstr>
      <vt:lpstr>Planning-Need vs Planned</vt:lpstr>
      <vt:lpstr>Sheet1</vt:lpstr>
      <vt:lpstr>TSD- FY25 Canceled Courses</vt:lpstr>
      <vt:lpstr>TSD-Data</vt:lpstr>
      <vt:lpstr>Detail1</vt:lpstr>
      <vt:lpstr>Detail2</vt:lpstr>
      <vt:lpstr>Detail3</vt:lpstr>
      <vt:lpstr>FLT</vt:lpstr>
      <vt:lpstr>OH</vt:lpstr>
      <vt:lpstr>SAF</vt:lpstr>
      <vt:lpstr>ENV</vt:lpstr>
      <vt:lpstr>Detail4</vt:lpstr>
      <vt:lpstr>FY25 Status</vt:lpstr>
      <vt:lpstr>Sheet2</vt:lpstr>
      <vt:lpstr>FY 2025 Schedule</vt:lpstr>
      <vt:lpstr>FY25 Needs Assessment</vt:lpstr>
      <vt:lpstr>Detail5</vt:lpstr>
      <vt:lpstr>Detail6</vt:lpstr>
      <vt:lpstr>Detail7</vt:lpstr>
      <vt:lpstr>2025 Global Online Need Totals</vt:lpstr>
      <vt:lpstr>Detail8</vt:lpstr>
      <vt:lpstr>Detail9</vt:lpstr>
      <vt:lpstr>2025 Resident Need Totals</vt:lpstr>
      <vt:lpstr>CIN</vt:lpstr>
      <vt:lpstr>Class</vt:lpstr>
      <vt:lpstr>Courses</vt:lpstr>
      <vt:lpstr>Instructor</vt:lpstr>
      <vt:lpstr>Location</vt:lpstr>
      <vt:lpstr>ENV!Print_Area</vt:lpstr>
      <vt:lpstr>FLT!Print_Area</vt:lpstr>
      <vt:lpstr>'FY 2025 Schedule'!Print_Area</vt:lpstr>
      <vt:lpstr>'FY25 Needs Assessment'!Print_Area</vt:lpstr>
      <vt:lpstr>'FY25 Status'!Print_Area</vt:lpstr>
      <vt:lpstr>OH!Print_Area</vt:lpstr>
      <vt:lpstr>SAF!Print_Area</vt:lpstr>
      <vt:lpstr>Roster</vt:lpstr>
    </vt:vector>
  </TitlesOfParts>
  <Manager/>
  <Company>HPES NMCI 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McQueen, Jennifer A CIV NAVOSHENVTRACEN, N7TS4</dc:creator>
  <cp:keywords/>
  <dc:description/>
  <cp:lastModifiedBy>Benzick, Susanne R CIV USN NAVSAFENVTRACEN NOR (USA)</cp:lastModifiedBy>
  <cp:revision/>
  <dcterms:created xsi:type="dcterms:W3CDTF">2020-09-15T15:26:38Z</dcterms:created>
  <dcterms:modified xsi:type="dcterms:W3CDTF">2025-04-30T10:35:57Z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0x0101000514C7FA5466C94E8517B32B1AE5CACC</vt:lpwstr>
  </property>
</Properties>
</file>